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karim.ENTDSWD\Desktop\APCPI\APCPI 2023\"/>
    </mc:Choice>
  </mc:AlternateContent>
  <xr:revisionPtr revIDLastSave="0" documentId="8_{B1D82F21-1BC4-4F37-B509-6E5008D97101}" xr6:coauthVersionLast="47" xr6:coauthVersionMax="47" xr10:uidLastSave="{00000000-0000-0000-0000-000000000000}"/>
  <bookViews>
    <workbookView xWindow="-110" yWindow="-110" windowWidth="19420" windowHeight="10420" tabRatio="634" firstSheet="1" activeTab="5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R25" i="4"/>
  <c r="R271" i="4"/>
  <c r="R237" i="4"/>
  <c r="R234" i="4"/>
  <c r="R149" i="4"/>
  <c r="R146" i="4"/>
  <c r="R134" i="4"/>
  <c r="R110" i="4"/>
  <c r="R107" i="4"/>
  <c r="R103" i="4"/>
  <c r="R83" i="4"/>
  <c r="R23" i="4"/>
  <c r="R8" i="4"/>
  <c r="D40" i="5" s="1"/>
  <c r="E40" i="5" s="1"/>
  <c r="R161" i="4"/>
  <c r="R32" i="4"/>
  <c r="B76" i="5"/>
  <c r="C34" i="6" s="1"/>
  <c r="E76" i="5"/>
  <c r="R19" i="4"/>
  <c r="R21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86" i="4"/>
  <c r="R97" i="4"/>
  <c r="R99" i="4"/>
  <c r="R121" i="4"/>
  <c r="D42" i="5" s="1"/>
  <c r="E42" i="5" s="1"/>
  <c r="C25" i="6" s="1"/>
  <c r="R129" i="4"/>
  <c r="R137" i="4"/>
  <c r="R139" i="4"/>
  <c r="R144" i="4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6" i="4"/>
  <c r="R190" i="4" s="1"/>
  <c r="D68" i="5" s="1"/>
  <c r="E68" i="5" s="1"/>
  <c r="C40" i="6" s="1"/>
  <c r="R202" i="4"/>
  <c r="R205" i="4"/>
  <c r="R208" i="4"/>
  <c r="R214" i="4"/>
  <c r="R221" i="4" s="1"/>
  <c r="R212" i="4" s="1"/>
  <c r="D72" i="5" s="1"/>
  <c r="E72" i="5" s="1"/>
  <c r="C42" i="6" s="1"/>
  <c r="R217" i="4"/>
  <c r="R220" i="4"/>
  <c r="R226" i="4"/>
  <c r="R244" i="4"/>
  <c r="R243" i="4" s="1"/>
  <c r="R242" i="4" s="1"/>
  <c r="R247" i="4"/>
  <c r="R249" i="4"/>
  <c r="R252" i="4"/>
  <c r="R251" i="4" s="1"/>
  <c r="D77" i="5" s="1"/>
  <c r="E77" i="5" s="1"/>
  <c r="C44" i="6" s="1"/>
  <c r="R262" i="4"/>
  <c r="R259" i="4" s="1"/>
  <c r="R264" i="4"/>
  <c r="R266" i="4"/>
  <c r="R274" i="4"/>
  <c r="R277" i="4" s="1"/>
  <c r="R269" i="4" s="1"/>
  <c r="D86" i="5" s="1"/>
  <c r="E86" i="5" s="1"/>
  <c r="C46" i="6" s="1"/>
  <c r="R276" i="4"/>
  <c r="R280" i="4"/>
  <c r="D87" i="5" s="1"/>
  <c r="E87" i="5" s="1"/>
  <c r="C47" i="6" s="1"/>
  <c r="R290" i="4"/>
  <c r="R292" i="4"/>
  <c r="R294" i="4"/>
  <c r="R300" i="4"/>
  <c r="R302" i="4"/>
  <c r="R304" i="4"/>
  <c r="A14" i="3"/>
  <c r="A15" i="3" s="1"/>
  <c r="A16" i="3" s="1"/>
  <c r="A17" i="3" s="1"/>
  <c r="A18" i="3" s="1"/>
  <c r="A22" i="3"/>
  <c r="A23" i="3" s="1"/>
  <c r="A24" i="3" s="1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B37" i="1"/>
  <c r="C37" i="1"/>
  <c r="D37" i="1"/>
  <c r="E37" i="1"/>
  <c r="K50" i="1"/>
  <c r="D83" i="5"/>
  <c r="E83" i="5" s="1"/>
  <c r="R175" i="4"/>
  <c r="D67" i="5" s="1"/>
  <c r="E67" i="5" s="1"/>
  <c r="C39" i="6" s="1"/>
  <c r="R305" i="4" l="1"/>
  <c r="R298" i="4" s="1"/>
  <c r="D93" i="5" s="1"/>
  <c r="E93" i="5" s="1"/>
  <c r="C49" i="6" s="1"/>
  <c r="R257" i="4"/>
  <c r="D82" i="5" s="1"/>
  <c r="E82" i="5" s="1"/>
  <c r="C45" i="6" s="1"/>
  <c r="R209" i="4"/>
  <c r="R200" i="4" s="1"/>
  <c r="D71" i="5" s="1"/>
  <c r="E71" i="5" s="1"/>
  <c r="C41" i="6" s="1"/>
  <c r="R162" i="4"/>
  <c r="R156" i="4" s="1"/>
  <c r="D58" i="5" s="1"/>
  <c r="E58" i="5" s="1"/>
  <c r="C33" i="6" s="1"/>
  <c r="R153" i="4"/>
  <c r="R142" i="4" s="1"/>
  <c r="D51" i="5" s="1"/>
  <c r="E51" i="5" s="1"/>
  <c r="C30" i="6" s="1"/>
  <c r="R140" i="4"/>
  <c r="R132" i="4" s="1"/>
  <c r="D50" i="5" s="1"/>
  <c r="E50" i="5" s="1"/>
  <c r="C29" i="6" s="1"/>
  <c r="R112" i="4"/>
  <c r="R102" i="4" s="1"/>
  <c r="D37" i="5" s="1"/>
  <c r="E37" i="5" s="1"/>
  <c r="C22" i="6" s="1"/>
  <c r="R66" i="4"/>
  <c r="F14" i="2"/>
  <c r="C14" i="2"/>
  <c r="E14" i="2" s="1"/>
  <c r="D47" i="5" s="1"/>
  <c r="E47" i="5" s="1"/>
  <c r="C28" i="6" s="1"/>
  <c r="R100" i="4"/>
  <c r="R82" i="4" s="1"/>
  <c r="D36" i="5" s="1"/>
  <c r="E36" i="5" s="1"/>
  <c r="C21" i="6" s="1"/>
  <c r="R26" i="4"/>
  <c r="R18" i="4" s="1"/>
  <c r="D41" i="5" s="1"/>
  <c r="E41" i="5" s="1"/>
  <c r="C24" i="6" s="1"/>
  <c r="R172" i="4"/>
  <c r="R165" i="4" s="1"/>
  <c r="D66" i="5" s="1"/>
  <c r="E66" i="5" s="1"/>
  <c r="C38" i="6" s="1"/>
  <c r="R229" i="4"/>
  <c r="R238" i="4" s="1"/>
  <c r="R224" i="4" s="1"/>
  <c r="D75" i="5" s="1"/>
  <c r="E75" i="5" s="1"/>
  <c r="C43" i="6" s="1"/>
  <c r="R59" i="4"/>
  <c r="D30" i="5" s="1"/>
  <c r="E30" i="5" s="1"/>
  <c r="C19" i="6" s="1"/>
  <c r="R295" i="4"/>
  <c r="R288" i="4" s="1"/>
  <c r="D90" i="5" s="1"/>
  <c r="E90" i="5" s="1"/>
  <c r="C48" i="6" s="1"/>
  <c r="D39" i="1"/>
  <c r="C3" i="2" s="1"/>
  <c r="E3" i="2" s="1"/>
  <c r="D16" i="5" s="1"/>
  <c r="E16" i="5" s="1"/>
  <c r="C9" i="6" s="1"/>
  <c r="E39" i="1"/>
  <c r="C5" i="2" s="1"/>
  <c r="E5" i="2" s="1"/>
  <c r="D20" i="5" s="1"/>
  <c r="E20" i="5" s="1"/>
  <c r="C11" i="6" s="1"/>
  <c r="B39" i="1"/>
  <c r="C9" i="2"/>
  <c r="E9" i="2" s="1"/>
  <c r="D27" i="5" s="1"/>
  <c r="E27" i="5" s="1"/>
  <c r="C16" i="6" s="1"/>
  <c r="C17" i="2"/>
  <c r="E17" i="2" s="1"/>
  <c r="C16" i="2"/>
  <c r="E16" i="2" s="1"/>
  <c r="D57" i="5" s="1"/>
  <c r="E57" i="5" s="1"/>
  <c r="C32" i="6" s="1"/>
  <c r="C12" i="2"/>
  <c r="E12" i="2" s="1"/>
  <c r="D45" i="5" s="1"/>
  <c r="E45" i="5" s="1"/>
  <c r="C26" i="6" s="1"/>
  <c r="C23" i="6"/>
  <c r="C11" i="2"/>
  <c r="E11" i="2" s="1"/>
  <c r="D29" i="5" s="1"/>
  <c r="E29" i="5" s="1"/>
  <c r="C18" i="6" s="1"/>
  <c r="C10" i="2"/>
  <c r="E10" i="2" s="1"/>
  <c r="D28" i="5" s="1"/>
  <c r="E28" i="5" s="1"/>
  <c r="C17" i="6" s="1"/>
  <c r="C13" i="2"/>
  <c r="E13" i="2" s="1"/>
  <c r="D46" i="5" s="1"/>
  <c r="E46" i="5" s="1"/>
  <c r="C27" i="6" s="1"/>
  <c r="C39" i="1"/>
  <c r="E94" i="5" l="1"/>
  <c r="E109" i="5" s="1"/>
  <c r="C2" i="2"/>
  <c r="E2" i="2" s="1"/>
  <c r="D15" i="5" s="1"/>
  <c r="E15" i="5" s="1"/>
  <c r="C8" i="6" s="1"/>
  <c r="C15" i="2"/>
  <c r="E15" i="2" s="1"/>
  <c r="D56" i="5" s="1"/>
  <c r="E56" i="5" s="1"/>
  <c r="C31" i="6" s="1"/>
  <c r="C7" i="2"/>
  <c r="E7" i="2" s="1"/>
  <c r="D22" i="5" s="1"/>
  <c r="E22" i="5" s="1"/>
  <c r="C13" i="6" s="1"/>
  <c r="C4" i="2"/>
  <c r="E4" i="2" s="1"/>
  <c r="D19" i="5" s="1"/>
  <c r="E19" i="5" s="1"/>
  <c r="C10" i="6" s="1"/>
  <c r="C8" i="2"/>
  <c r="E8" i="2" s="1"/>
  <c r="C6" i="2"/>
  <c r="E6" i="2" s="1"/>
  <c r="D21" i="5" s="1"/>
  <c r="E21" i="5" s="1"/>
  <c r="C12" i="6" s="1"/>
  <c r="E53" i="5"/>
  <c r="E107" i="5" s="1"/>
  <c r="E79" i="5" l="1"/>
  <c r="E108" i="5" s="1"/>
  <c r="E33" i="5"/>
  <c r="E106" i="5" s="1"/>
  <c r="E95" i="5" l="1"/>
  <c r="E110" i="5" s="1"/>
</calcChain>
</file>

<file path=xl/sharedStrings.xml><?xml version="1.0" encoding="utf-8"?>
<sst xmlns="http://schemas.openxmlformats.org/spreadsheetml/2006/main" count="1208" uniqueCount="693">
  <si>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</si>
  <si>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</si>
  <si>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</si>
  <si>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</si>
  <si>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</si>
  <si>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</si>
  <si>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</si>
  <si>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</si>
  <si>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</si>
  <si>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</si>
  <si>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</si>
  <si>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</si>
  <si>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</si>
  <si>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</si>
  <si>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</si>
  <si>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</si>
  <si>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</si>
  <si>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</si>
  <si>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</si>
  <si>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</si>
  <si>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</si>
  <si>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</si>
  <si>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</si>
  <si>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</si>
  <si>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</si>
  <si>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</si>
  <si>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</si>
  <si>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</si>
  <si>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</si>
  <si>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</si>
  <si>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</si>
  <si>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</si>
  <si>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</si>
  <si>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</si>
  <si>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</si>
  <si>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</si>
  <si>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</si>
  <si>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</si>
  <si>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</si>
  <si>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</si>
  <si>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</si>
  <si>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</si>
  <si>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</si>
  <si>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</si>
  <si>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</si>
  <si>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</si>
  <si>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</si>
  <si>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</si>
  <si>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</si>
  <si>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</si>
  <si>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</si>
  <si>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</si>
  <si>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</si>
  <si>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</si>
  <si>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</si>
  <si>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</si>
  <si>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</si>
  <si>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</si>
  <si>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</si>
  <si>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</si>
  <si>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</si>
  <si>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</si>
  <si>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</si>
  <si>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</si>
  <si>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</si>
  <si>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</si>
  <si>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</si>
  <si>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</si>
  <si>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</si>
  <si>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</si>
  <si>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</si>
  <si>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</si>
  <si>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</si>
  <si>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</si>
  <si>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</si>
  <si>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</si>
  <si>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</si>
  <si>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</si>
  <si>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</si>
  <si>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</si>
  <si>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</si>
  <si>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</si>
  <si>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</si>
  <si>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</si>
  <si>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</si>
  <si>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</si>
  <si>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</si>
  <si>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</si>
  <si>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</si>
  <si>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</si>
  <si>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</si>
  <si>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</si>
  <si>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</si>
  <si>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</si>
  <si>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</si>
  <si>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</si>
  <si>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</si>
  <si>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</si>
  <si>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</si>
  <si>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</si>
  <si>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</si>
  <si>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</si>
  <si>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</si>
  <si>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</si>
  <si>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</si>
  <si>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</si>
  <si>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</si>
  <si>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</si>
  <si>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</si>
  <si>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</si>
  <si>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</si>
  <si>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</si>
  <si>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</si>
  <si>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</si>
  <si>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</si>
  <si>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</si>
  <si>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</si>
  <si>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</si>
  <si>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</si>
  <si>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</si>
  <si>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</si>
  <si>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</si>
  <si>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</si>
  <si>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</si>
  <si>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</si>
  <si>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</si>
  <si>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</si>
  <si>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</si>
  <si>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</si>
  <si>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</si>
  <si>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</si>
  <si>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</si>
  <si>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</si>
  <si>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</si>
  <si>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</si>
  <si>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</si>
  <si>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</si>
  <si>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</si>
  <si>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</si>
  <si>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</si>
  <si>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</si>
  <si>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</si>
  <si>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</si>
  <si>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</si>
  <si>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</si>
  <si>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</si>
  <si>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</si>
  <si>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</si>
  <si>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</si>
  <si>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</si>
  <si>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</si>
  <si>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</si>
  <si>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</si>
  <si>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</si>
  <si>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</si>
  <si>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</si>
  <si>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</si>
  <si>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</si>
  <si>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</si>
  <si>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</si>
  <si>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</si>
  <si>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</si>
  <si>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</si>
  <si>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</si>
  <si>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</si>
  <si>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</si>
  <si>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</si>
  <si>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</si>
  <si>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</si>
  <si>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</si>
  <si>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</si>
  <si>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</si>
  <si>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</si>
  <si>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</si>
  <si>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</si>
  <si>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</si>
  <si>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</si>
  <si>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</si>
  <si>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</si>
  <si>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</si>
  <si>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</si>
  <si>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</si>
  <si>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</si>
  <si>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</si>
  <si>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</si>
  <si>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</si>
  <si>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</si>
  <si>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</si>
  <si>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</si>
  <si>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</si>
  <si>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</si>
  <si>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</si>
  <si>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</si>
  <si>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</si>
  <si>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</si>
  <si>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</si>
  <si>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</si>
  <si>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</si>
  <si>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</si>
  <si>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</si>
  <si>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</si>
  <si>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</si>
  <si>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</si>
  <si>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</si>
  <si>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</si>
  <si>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</si>
  <si>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</si>
  <si>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</si>
  <si>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</si>
  <si>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</si>
  <si>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</si>
  <si>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</si>
  <si>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</si>
  <si>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</si>
  <si>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</si>
  <si>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</si>
  <si>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</si>
  <si>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</si>
  <si>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</si>
  <si>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</si>
  <si>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</si>
  <si>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</si>
  <si>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</si>
  <si>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</si>
  <si>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</si>
  <si>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</si>
  <si>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</si>
  <si>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</si>
  <si>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</si>
  <si>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</si>
  <si>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</si>
  <si>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</si>
  <si>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</si>
  <si>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</si>
  <si>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</si>
  <si>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</si>
  <si>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</si>
  <si>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</si>
  <si>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</si>
  <si>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</si>
  <si>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</si>
  <si>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</si>
  <si>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</si>
  <si>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</si>
  <si>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</si>
  <si>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</si>
  <si>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</si>
  <si>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</si>
  <si>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</si>
  <si>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</si>
  <si>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</si>
  <si>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</si>
  <si>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</si>
  <si>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</si>
  <si>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</si>
  <si>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</si>
  <si>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</si>
  <si>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</si>
  <si>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</si>
  <si>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</si>
  <si>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</si>
  <si>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</si>
  <si>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</si>
  <si>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</si>
  <si>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</si>
  <si>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</si>
  <si>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</si>
  <si>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</si>
  <si>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</si>
  <si>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</si>
  <si>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</si>
  <si>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</si>
  <si>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</si>
  <si>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</si>
  <si>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</si>
  <si>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</si>
  <si>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</si>
  <si>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</si>
  <si>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</si>
  <si>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</si>
  <si>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</si>
  <si>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</si>
  <si>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</si>
  <si>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</si>
  <si>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</si>
  <si>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</si>
  <si>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</si>
  <si>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</si>
  <si>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</si>
  <si>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</si>
  <si>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</si>
  <si>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</si>
  <si>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</si>
  <si>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</si>
  <si>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</si>
  <si>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</si>
  <si>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</si>
  <si>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</si>
  <si>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</si>
  <si>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</si>
  <si>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</si>
  <si>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</si>
  <si>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</si>
  <si>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</si>
  <si>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</si>
  <si>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</si>
  <si>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</si>
  <si>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</si>
  <si>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</si>
  <si>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</si>
  <si>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</si>
  <si>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</si>
  <si>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</si>
  <si>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</si>
  <si>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</si>
  <si>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</si>
  <si>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</si>
  <si>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</si>
  <si>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</si>
  <si>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</si>
  <si>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</si>
  <si>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</si>
  <si>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</si>
  <si>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</si>
  <si>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</si>
  <si>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</si>
  <si>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</si>
  <si>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</si>
  <si>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</si>
  <si>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</si>
  <si>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</si>
  <si>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</si>
  <si>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</si>
  <si>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</si>
  <si>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</si>
  <si>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</si>
  <si>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</si>
  <si>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</si>
  <si>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</si>
  <si>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</si>
  <si>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</si>
  <si>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</si>
  <si>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</si>
  <si>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</si>
  <si>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</si>
  <si>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</si>
  <si>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</si>
  <si>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</si>
  <si>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</si>
  <si>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</si>
  <si>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</si>
  <si>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</si>
  <si>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</si>
  <si>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</si>
  <si>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</si>
  <si>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</si>
  <si>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</si>
  <si>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</si>
  <si>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</si>
  <si>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</si>
  <si>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</si>
  <si>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</si>
  <si>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</si>
  <si>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</si>
  <si>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</si>
  <si>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</si>
  <si>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</si>
  <si>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</si>
  <si>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</si>
  <si>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</si>
  <si>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</si>
  <si>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</si>
  <si>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</si>
  <si>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</si>
  <si>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</si>
  <si>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</si>
  <si>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</si>
  <si>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</si>
  <si>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</si>
  <si>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</si>
  <si>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</si>
  <si>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</si>
  <si>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</si>
  <si>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</si>
  <si>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</si>
  <si>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</si>
  <si>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</si>
  <si>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</si>
  <si>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</si>
  <si>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</si>
  <si>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</si>
  <si>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</si>
  <si>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</si>
  <si>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</si>
  <si>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</si>
  <si>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</si>
  <si>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</si>
  <si>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</si>
  <si>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</si>
  <si>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</si>
  <si>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</si>
  <si>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</si>
  <si>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</si>
  <si>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</si>
  <si>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</si>
  <si>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</si>
  <si>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</si>
  <si>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</si>
  <si>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</si>
  <si>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</si>
  <si>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</si>
  <si>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</si>
  <si>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</si>
  <si>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</si>
  <si>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</si>
  <si>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</si>
  <si>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</si>
  <si>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</si>
  <si>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</si>
  <si>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</si>
  <si>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</si>
  <si>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</si>
  <si>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</si>
  <si>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</si>
  <si>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</si>
  <si>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</si>
  <si>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</si>
  <si>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</si>
  <si>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</si>
  <si>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</si>
  <si>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</si>
  <si>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</si>
  <si>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</si>
  <si>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</si>
  <si>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</si>
  <si>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</si>
  <si>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</si>
  <si>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</si>
  <si>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</si>
  <si>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</si>
  <si>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</si>
  <si>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</si>
  <si>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</si>
  <si>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</si>
  <si>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</si>
  <si>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</si>
  <si>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</si>
  <si>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</si>
  <si>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</si>
  <si>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</si>
  <si>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</si>
  <si>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</si>
  <si>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</si>
  <si>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</si>
  <si>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</si>
  <si>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</si>
  <si>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</si>
  <si>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</si>
  <si>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</si>
  <si>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</si>
  <si>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</si>
  <si>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</si>
  <si>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</si>
  <si>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</si>
  <si>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</si>
  <si>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</si>
  <si>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</si>
  <si>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</si>
  <si>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</si>
  <si>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</si>
  <si>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</si>
  <si>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</si>
  <si>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</si>
  <si>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</si>
  <si>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</si>
  <si>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</si>
  <si>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</si>
  <si>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</si>
  <si>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</si>
  <si>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</si>
  <si>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</si>
  <si>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</si>
  <si>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</si>
  <si>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</si>
  <si>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</si>
  <si>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</si>
  <si>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</si>
  <si>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</si>
  <si>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</si>
  <si>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</si>
  <si>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</si>
  <si>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</si>
  <si>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</si>
  <si>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</si>
  <si>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</si>
  <si>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</si>
  <si>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</si>
  <si>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</si>
  <si>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</si>
  <si>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</si>
  <si>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</si>
  <si>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</si>
  <si>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</si>
  <si>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</si>
  <si>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</si>
  <si>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</si>
  <si>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</si>
  <si>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</si>
  <si>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</si>
  <si>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</si>
  <si>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</si>
  <si>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</si>
  <si>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</si>
  <si>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</si>
  <si>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</si>
  <si>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</si>
  <si>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</si>
  <si>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</si>
  <si>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</si>
  <si>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</si>
  <si>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</si>
  <si>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</si>
  <si>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</si>
  <si>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</si>
  <si>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</si>
  <si>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</si>
  <si>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</si>
  <si>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</si>
  <si>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</si>
  <si>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</si>
  <si>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</si>
  <si>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</si>
  <si>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</si>
  <si>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</si>
  <si>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</si>
  <si>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</si>
  <si>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</si>
  <si>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</si>
  <si>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</si>
  <si>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</si>
  <si>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</si>
  <si>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</si>
  <si>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</si>
  <si>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</si>
  <si>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</si>
  <si>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</si>
  <si>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</si>
  <si>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</si>
  <si>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</si>
  <si>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</si>
  <si>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</si>
  <si>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</si>
  <si>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</si>
  <si>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</si>
  <si>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</si>
  <si>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</si>
  <si>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</si>
  <si>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</si>
  <si>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</si>
  <si>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</si>
  <si>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</si>
  <si>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</si>
  <si>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</si>
  <si>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</si>
  <si>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</si>
  <si>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</si>
  <si>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</si>
  <si>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</si>
  <si>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</si>
  <si>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</si>
  <si>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</si>
  <si>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</si>
  <si>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</si>
  <si>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</si>
  <si>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</si>
  <si>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</si>
  <si>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</si>
  <si>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</si>
  <si>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</si>
  <si>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</si>
  <si>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</si>
  <si>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</si>
  <si>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</si>
  <si>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</si>
  <si>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</si>
  <si>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</si>
  <si>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</si>
  <si>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</si>
  <si>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</si>
  <si>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</si>
  <si>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</si>
  <si>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</si>
  <si>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</si>
  <si>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</si>
  <si>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</si>
  <si>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</si>
  <si>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</si>
  <si>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</si>
  <si>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</si>
  <si>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</si>
  <si>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</si>
  <si>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</si>
  <si>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</si>
  <si>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</si>
  <si>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</si>
  <si>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</si>
  <si>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</si>
  <si>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</si>
  <si>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</si>
  <si>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</si>
  <si>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</si>
  <si>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</si>
  <si>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</si>
  <si>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</si>
  <si>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</si>
  <si>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</si>
  <si>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</si>
  <si>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</si>
  <si>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</si>
  <si>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</si>
  <si>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</si>
  <si>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</si>
  <si>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</si>
  <si>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</si>
  <si>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</si>
  <si>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</si>
  <si>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</si>
  <si>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</si>
  <si>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</si>
  <si>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</si>
  <si>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</si>
  <si>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</si>
  <si>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</si>
  <si>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</si>
  <si>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</si>
  <si>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</si>
  <si>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</si>
  <si>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DSWD FO IX</t>
  </si>
  <si>
    <t>BAC Chairperson</t>
  </si>
  <si>
    <t>RENATO G. FOJAS</t>
  </si>
  <si>
    <t>BAC Vice Chairperson</t>
  </si>
  <si>
    <t>P</t>
  </si>
  <si>
    <t>MA. SOCORRO S. MACASO, RSW</t>
  </si>
  <si>
    <t>HASAN B. ALFAD</t>
  </si>
  <si>
    <t>ATTY. AL-JAZZER M.A. USAD</t>
  </si>
  <si>
    <t>JAMILA A. ARASID</t>
  </si>
  <si>
    <t xml:space="preserve">https://fo9.dswd.gov.ph/wp-content/uploads/2023/01/FY-2023-APP.pdf </t>
  </si>
  <si>
    <t>Regional Special Order No. 0012 Series of 2024</t>
  </si>
  <si>
    <t>AL-WALID S. SAPPAYANI</t>
  </si>
  <si>
    <t>January 30-31, 2023-PhilGEPS Online Training for Buyers</t>
  </si>
  <si>
    <t>https://fo9.dswd.gov.ph/procurement-advisory/procurement/</t>
  </si>
  <si>
    <t>https://fo9.dswd.gov.ph/wp-content/uploads/2023/07/FY-2023-PMR-FOR-THE-1ST-SEMESTER.pdf AND https://fo9.dswd.gov.ph/wp-content/uploads/2024/01/1.-DSWD-FO-IX-PMR-2ND-SEMESTER-OF-FY-2023.pdf</t>
  </si>
  <si>
    <t>ENGR. ROLEISTE FALSIS</t>
  </si>
  <si>
    <t>MANAGEMENT AND AUDIT ANALYST II</t>
  </si>
  <si>
    <t>Name of Agency:   DSWD FO IX</t>
  </si>
  <si>
    <t>Period: January 1, 2023 to December 31, 2023</t>
  </si>
  <si>
    <t>Use or encourage public bidding as a default procurement, to maximize use of resources at least amount of works in terms of man-hour lost due to alternative methods of procurement</t>
  </si>
  <si>
    <t>BAC/PROCUREMENT</t>
  </si>
  <si>
    <t>Adoption of competitive public bidding would be promoted to maximine presence of BAC members in processing procurement opportunities</t>
  </si>
  <si>
    <t xml:space="preserve">Discuss with end-user units to avail of public bidding as a mode of  procurement to minimize on shopping as a mode of procurement. </t>
  </si>
  <si>
    <t>Encourage end-user units to resort to public bidding procurement, to minimize resort to negotiated procurements. In public bidding, discussion of documents required needed to minimize failure of bidding</t>
  </si>
  <si>
    <t>JANUARY TO DECEMBER 2024</t>
  </si>
  <si>
    <r>
      <t xml:space="preserve">Name of Agency: </t>
    </r>
    <r>
      <rPr>
        <b/>
        <u/>
        <sz val="10"/>
        <rFont val="Calibri"/>
        <family val="2"/>
      </rPr>
      <t>Department of Social Welfare and Development Field Office IX</t>
    </r>
  </si>
  <si>
    <r>
      <t xml:space="preserve">Period  Covered:  </t>
    </r>
    <r>
      <rPr>
        <b/>
        <sz val="10"/>
        <color rgb="FF000000"/>
        <rFont val="Calibri"/>
        <family val="2"/>
      </rPr>
      <t>CY 2023</t>
    </r>
  </si>
  <si>
    <t>MAY 24 TO 27, 2022</t>
  </si>
  <si>
    <t>FEBRUARY 27 TO 29, 2024</t>
  </si>
  <si>
    <t>FEBRUARY 20 TO 29, 2024</t>
  </si>
  <si>
    <t>Name of Agency: DSWD FO IX</t>
  </si>
  <si>
    <t>Date of Self Assessment: MARCH 18, 2024</t>
  </si>
  <si>
    <t>Name of Evaluator: RENATO G. FOJAS</t>
  </si>
  <si>
    <t>Position: BAC VICE CHAIRPERSON</t>
  </si>
  <si>
    <t>RIDUAN P. HADJIMUDDIN, CESO IV</t>
  </si>
  <si>
    <t>Regional Director</t>
  </si>
  <si>
    <t>AL-WALID A. SAPPAYANI</t>
  </si>
  <si>
    <t>BAC Secretariat</t>
  </si>
  <si>
    <t>MA. SOCORRO S. MACASO. RSW, MSW</t>
  </si>
  <si>
    <t>BAC Chairperson/ARDO</t>
  </si>
  <si>
    <t>MA. SOCORRO S. MACASO, RSW, MSW</t>
  </si>
  <si>
    <t>Disseminate Procurement Opportunities not only through PhilGeps but Includes Direct Invitation.</t>
  </si>
  <si>
    <t>Religiously following the mandate in the REVISED IRR OF RA 9184 on PROCUREMENT for open information to other potentia bidders and finally always maintain a good reputation of not making a collution to other bidders as being a form of corruption</t>
  </si>
  <si>
    <t>Encourage Action Participation from Bidders during Pre-Bid and Pro-Active Discussion on the part of the BAC relative to common reason for Disqualifications</t>
  </si>
  <si>
    <t>BAC</t>
  </si>
  <si>
    <t>PROCUREMENT HANDBOOK/ENHANCEMENT OF TECHNICAL SKILLS /TRAINING</t>
  </si>
  <si>
    <t>Maintain an internal policy of One Project one Contract Concept only for easy monitoring of procurement project</t>
  </si>
  <si>
    <t>PROCUREMENT</t>
  </si>
  <si>
    <t xml:space="preserve">Find Resource and request for Training on RA 9184 </t>
  </si>
  <si>
    <t>APRIL 2024</t>
  </si>
  <si>
    <t>ENHANCEMENT OF TECHNICAL SKILLS /TRAINING/BUDGETARY REQUIREMENTS/RESOURCE SPEAKER</t>
  </si>
  <si>
    <t>MA. JOCELYN REYES</t>
  </si>
  <si>
    <t>APRIL  TO DECEMBER 2024</t>
  </si>
  <si>
    <t>Conduct market scanning and analysis to possilby explore for other contractors offering similar procurement needed by the agency</t>
  </si>
  <si>
    <t>PROCUREMENT/BAC</t>
  </si>
  <si>
    <t>Cascading an Ideas and coduct training and Awareness on Green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</si>
</sst>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5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color indexed="8"/>
      <name val="Calibri"/>
      <family val="2"/>
    </font>
    <font>
      <sz val="10"/>
      <name val="Wingdings 2"/>
      <family val="1"/>
      <charset val="2"/>
    </font>
    <font>
      <sz val="10"/>
      <color indexed="8"/>
      <name val="Wingdings 2"/>
      <family val="1"/>
      <charset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color rgb="FF000000"/>
      <name val="Calibri"/>
      <family val="2"/>
    </font>
    <font>
      <u/>
      <sz val="10"/>
      <color indexed="8"/>
      <name val="Calibri"/>
      <family val="2"/>
      <charset val="1"/>
    </font>
    <font>
      <b/>
      <u/>
      <sz val="12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thin">
        <color indexed="64"/>
      </top>
      <bottom/>
      <diagonal/>
    </border>
    <border>
      <left style="medium">
        <color rgb="FFCCCCCC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425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9" fillId="2" borderId="2" xfId="4" applyFont="1" applyFill="1" applyBorder="1" applyAlignment="1" applyProtection="1">
      <alignment horizontal="center"/>
      <protection hidden="1"/>
    </xf>
    <xf numFmtId="2" fontId="9" fillId="2" borderId="2" xfId="4" applyNumberFormat="1" applyFont="1" applyFill="1" applyBorder="1" applyAlignment="1" applyProtection="1">
      <alignment horizontal="center"/>
      <protection hidden="1"/>
    </xf>
    <xf numFmtId="0" fontId="9" fillId="2" borderId="3" xfId="4" applyFont="1" applyFill="1" applyBorder="1" applyAlignment="1" applyProtection="1">
      <alignment horizontal="center"/>
      <protection hidden="1"/>
    </xf>
    <xf numFmtId="0" fontId="9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0" fillId="2" borderId="0" xfId="4" applyFont="1" applyFill="1" applyAlignment="1" applyProtection="1">
      <alignment wrapText="1"/>
      <protection hidden="1"/>
    </xf>
    <xf numFmtId="0" fontId="11" fillId="2" borderId="0" xfId="4" applyFont="1" applyFill="1" applyAlignment="1" applyProtection="1">
      <alignment horizontal="left"/>
      <protection locked="0"/>
    </xf>
    <xf numFmtId="0" fontId="10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2" fillId="2" borderId="0" xfId="5" applyFont="1" applyFill="1" applyAlignment="1" applyProtection="1">
      <alignment vertical="center"/>
      <protection locked="0"/>
    </xf>
    <xf numFmtId="0" fontId="12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2" fillId="2" borderId="0" xfId="5" applyFont="1" applyFill="1" applyAlignment="1">
      <alignment vertical="center" wrapText="1"/>
    </xf>
    <xf numFmtId="0" fontId="12" fillId="2" borderId="0" xfId="5" applyFont="1" applyFill="1" applyAlignment="1">
      <alignment vertical="center"/>
    </xf>
    <xf numFmtId="167" fontId="16" fillId="2" borderId="0" xfId="1" applyNumberFormat="1" applyFont="1" applyFill="1" applyBorder="1" applyAlignment="1" applyProtection="1">
      <alignment vertical="center" wrapText="1"/>
    </xf>
    <xf numFmtId="167" fontId="16" fillId="2" borderId="0" xfId="1" applyNumberFormat="1" applyFont="1" applyFill="1" applyBorder="1" applyAlignment="1" applyProtection="1">
      <alignment horizontal="center" vertical="center"/>
    </xf>
    <xf numFmtId="167" fontId="11" fillId="2" borderId="0" xfId="1" applyNumberFormat="1" applyFont="1" applyFill="1" applyBorder="1" applyAlignment="1" applyProtection="1">
      <alignment vertical="center" wrapText="1"/>
    </xf>
    <xf numFmtId="0" fontId="17" fillId="2" borderId="0" xfId="5" applyFont="1" applyFill="1" applyAlignment="1">
      <alignment vertical="center"/>
    </xf>
    <xf numFmtId="0" fontId="18" fillId="2" borderId="0" xfId="5" applyFont="1" applyFill="1" applyAlignment="1">
      <alignment vertical="center" wrapText="1"/>
    </xf>
    <xf numFmtId="0" fontId="18" fillId="2" borderId="0" xfId="5" applyFont="1" applyFill="1" applyAlignment="1">
      <alignment horizontal="center" vertical="center"/>
    </xf>
    <xf numFmtId="0" fontId="17" fillId="2" borderId="0" xfId="5" applyFont="1" applyFill="1" applyAlignment="1">
      <alignment vertical="center" wrapText="1"/>
    </xf>
    <xf numFmtId="0" fontId="15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vertical="center" wrapText="1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3" fillId="2" borderId="10" xfId="5" applyFont="1" applyFill="1" applyBorder="1" applyAlignment="1">
      <alignment vertical="center" wrapText="1"/>
    </xf>
    <xf numFmtId="0" fontId="12" fillId="2" borderId="10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vertical="center" wrapText="1"/>
      <protection locked="0"/>
    </xf>
    <xf numFmtId="0" fontId="12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>
      <alignment horizontal="justify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horizontal="left" vertical="center" wrapText="1"/>
      <protection locked="0"/>
    </xf>
    <xf numFmtId="0" fontId="12" fillId="2" borderId="9" xfId="5" applyFont="1" applyFill="1" applyBorder="1" applyAlignment="1" applyProtection="1">
      <alignment horizontal="justify" vertical="center" wrapText="1"/>
      <protection locked="0"/>
    </xf>
    <xf numFmtId="0" fontId="12" fillId="2" borderId="12" xfId="5" applyFont="1" applyFill="1" applyBorder="1" applyAlignment="1" applyProtection="1">
      <alignment vertical="center" wrapText="1"/>
      <protection locked="0"/>
    </xf>
    <xf numFmtId="0" fontId="12" fillId="2" borderId="10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horizontal="left" vertical="center"/>
    </xf>
    <xf numFmtId="0" fontId="12" fillId="2" borderId="9" xfId="5" applyFont="1" applyFill="1" applyBorder="1" applyAlignment="1">
      <alignment horizontal="left" vertical="center" wrapText="1"/>
    </xf>
    <xf numFmtId="0" fontId="12" fillId="2" borderId="12" xfId="5" applyFont="1" applyFill="1" applyBorder="1" applyAlignment="1">
      <alignment horizontal="left" vertical="center"/>
    </xf>
    <xf numFmtId="0" fontId="12" fillId="2" borderId="11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left" vertical="center" wrapText="1"/>
    </xf>
    <xf numFmtId="0" fontId="12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2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0" fontId="18" fillId="2" borderId="0" xfId="5" applyFont="1" applyFill="1"/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0" fontId="17" fillId="2" borderId="0" xfId="5" applyFont="1" applyFill="1"/>
    <xf numFmtId="0" fontId="17" fillId="2" borderId="0" xfId="5" applyFont="1" applyFill="1" applyProtection="1">
      <protection locked="0"/>
    </xf>
    <xf numFmtId="166" fontId="17" fillId="2" borderId="0" xfId="5" applyNumberFormat="1" applyFont="1" applyFill="1" applyAlignment="1">
      <alignment vertical="center"/>
    </xf>
    <xf numFmtId="166" fontId="17" fillId="2" borderId="0" xfId="5" applyNumberFormat="1" applyFont="1" applyFill="1" applyAlignment="1">
      <alignment vertical="center" wrapText="1"/>
    </xf>
    <xf numFmtId="166" fontId="17" fillId="2" borderId="13" xfId="5" applyNumberFormat="1" applyFont="1" applyFill="1" applyBorder="1" applyAlignment="1">
      <alignment vertical="center"/>
    </xf>
    <xf numFmtId="166" fontId="17" fillId="2" borderId="0" xfId="5" applyNumberFormat="1" applyFont="1" applyFill="1" applyAlignment="1">
      <alignment horizontal="center" vertical="center" wrapText="1"/>
    </xf>
    <xf numFmtId="166" fontId="17" fillId="2" borderId="13" xfId="5" applyNumberFormat="1" applyFont="1" applyFill="1" applyBorder="1" applyAlignment="1">
      <alignment vertical="center" wrapText="1"/>
    </xf>
    <xf numFmtId="0" fontId="17" fillId="2" borderId="0" xfId="5" applyFont="1" applyFill="1" applyAlignment="1" applyProtection="1">
      <alignment vertical="center"/>
      <protection locked="0"/>
    </xf>
    <xf numFmtId="0" fontId="18" fillId="2" borderId="14" xfId="5" applyFont="1" applyFill="1" applyBorder="1" applyAlignment="1">
      <alignment vertical="center" wrapText="1"/>
    </xf>
    <xf numFmtId="0" fontId="18" fillId="4" borderId="9" xfId="5" applyFont="1" applyFill="1" applyBorder="1" applyAlignment="1">
      <alignment horizontal="center" vertical="center" wrapText="1"/>
    </xf>
    <xf numFmtId="0" fontId="18" fillId="5" borderId="9" xfId="5" applyFont="1" applyFill="1" applyBorder="1" applyAlignment="1">
      <alignment horizontal="center" vertical="center" wrapText="1"/>
    </xf>
    <xf numFmtId="0" fontId="18" fillId="6" borderId="9" xfId="5" applyFont="1" applyFill="1" applyBorder="1" applyAlignment="1">
      <alignment horizontal="center" vertical="center" wrapText="1"/>
    </xf>
    <xf numFmtId="0" fontId="18" fillId="7" borderId="9" xfId="5" applyFont="1" applyFill="1" applyBorder="1" applyAlignment="1">
      <alignment horizontal="center" vertical="center" wrapText="1"/>
    </xf>
    <xf numFmtId="0" fontId="18" fillId="2" borderId="15" xfId="5" applyFont="1" applyFill="1" applyBorder="1" applyAlignment="1">
      <alignment vertical="center"/>
    </xf>
    <xf numFmtId="0" fontId="18" fillId="2" borderId="15" xfId="5" applyFont="1" applyFill="1" applyBorder="1" applyAlignment="1">
      <alignment vertical="center" wrapText="1"/>
    </xf>
    <xf numFmtId="0" fontId="18" fillId="4" borderId="9" xfId="5" applyFont="1" applyFill="1" applyBorder="1" applyAlignment="1">
      <alignment horizontal="center" vertical="center"/>
    </xf>
    <xf numFmtId="0" fontId="18" fillId="5" borderId="9" xfId="5" applyFont="1" applyFill="1" applyBorder="1" applyAlignment="1">
      <alignment horizontal="center" vertical="center"/>
    </xf>
    <xf numFmtId="0" fontId="18" fillId="6" borderId="9" xfId="5" applyFont="1" applyFill="1" applyBorder="1" applyAlignment="1">
      <alignment horizontal="center" vertical="center"/>
    </xf>
    <xf numFmtId="0" fontId="18" fillId="7" borderId="9" xfId="5" applyFont="1" applyFill="1" applyBorder="1" applyAlignment="1">
      <alignment horizontal="center" vertical="center"/>
    </xf>
    <xf numFmtId="0" fontId="23" fillId="2" borderId="12" xfId="5" applyFont="1" applyFill="1" applyBorder="1" applyAlignment="1">
      <alignment vertical="center"/>
    </xf>
    <xf numFmtId="0" fontId="23" fillId="2" borderId="10" xfId="5" applyFont="1" applyFill="1" applyBorder="1" applyAlignment="1">
      <alignment vertical="center" wrapText="1"/>
    </xf>
    <xf numFmtId="0" fontId="23" fillId="2" borderId="10" xfId="5" applyFont="1" applyFill="1" applyBorder="1" applyAlignment="1">
      <alignment vertical="center"/>
    </xf>
    <xf numFmtId="0" fontId="23" fillId="2" borderId="10" xfId="5" applyFont="1" applyFill="1" applyBorder="1" applyAlignment="1">
      <alignment horizontal="center" vertical="center" wrapText="1"/>
    </xf>
    <xf numFmtId="0" fontId="23" fillId="2" borderId="11" xfId="5" applyFont="1" applyFill="1" applyBorder="1" applyAlignment="1">
      <alignment vertical="center"/>
    </xf>
    <xf numFmtId="0" fontId="18" fillId="2" borderId="12" xfId="5" applyFont="1" applyFill="1" applyBorder="1" applyAlignment="1">
      <alignment vertical="center"/>
    </xf>
    <xf numFmtId="0" fontId="18" fillId="2" borderId="10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vertical="center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1" xfId="5" applyFont="1" applyFill="1" applyBorder="1" applyAlignment="1">
      <alignment vertical="center"/>
    </xf>
    <xf numFmtId="0" fontId="17" fillId="2" borderId="9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vertical="center" wrapText="1"/>
    </xf>
    <xf numFmtId="0" fontId="17" fillId="2" borderId="9" xfId="5" applyFont="1" applyFill="1" applyBorder="1" applyAlignment="1">
      <alignment horizontal="center" vertical="center" wrapText="1"/>
    </xf>
    <xf numFmtId="0" fontId="18" fillId="2" borderId="9" xfId="5" applyFont="1" applyFill="1" applyBorder="1" applyAlignment="1">
      <alignment horizontal="center" vertical="center"/>
    </xf>
    <xf numFmtId="164" fontId="17" fillId="2" borderId="9" xfId="1" applyFont="1" applyFill="1" applyBorder="1" applyAlignment="1" applyProtection="1">
      <alignment horizontal="center" vertical="center" wrapText="1"/>
    </xf>
    <xf numFmtId="10" fontId="17" fillId="2" borderId="9" xfId="5" applyNumberFormat="1" applyFont="1" applyFill="1" applyBorder="1" applyAlignment="1">
      <alignment horizontal="center" vertical="center" wrapText="1"/>
    </xf>
    <xf numFmtId="10" fontId="18" fillId="2" borderId="9" xfId="5" applyNumberFormat="1" applyFont="1" applyFill="1" applyBorder="1" applyAlignment="1">
      <alignment horizontal="center" vertical="center"/>
    </xf>
    <xf numFmtId="0" fontId="17" fillId="2" borderId="12" xfId="5" applyFont="1" applyFill="1" applyBorder="1" applyAlignment="1">
      <alignment horizontal="center" vertical="center"/>
    </xf>
    <xf numFmtId="0" fontId="17" fillId="2" borderId="10" xfId="5" applyFont="1" applyFill="1" applyBorder="1" applyAlignment="1">
      <alignment vertical="center" wrapText="1"/>
    </xf>
    <xf numFmtId="10" fontId="17" fillId="2" borderId="10" xfId="5" applyNumberFormat="1" applyFont="1" applyFill="1" applyBorder="1" applyAlignment="1">
      <alignment horizontal="center" vertical="center" wrapText="1"/>
    </xf>
    <xf numFmtId="10" fontId="18" fillId="2" borderId="10" xfId="5" applyNumberFormat="1" applyFont="1" applyFill="1" applyBorder="1" applyAlignment="1">
      <alignment horizontal="center" vertical="center"/>
    </xf>
    <xf numFmtId="164" fontId="17" fillId="2" borderId="10" xfId="1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10" fontId="17" fillId="2" borderId="9" xfId="5" applyNumberFormat="1" applyFont="1" applyFill="1" applyBorder="1" applyAlignment="1">
      <alignment horizontal="center" vertical="center"/>
    </xf>
    <xf numFmtId="10" fontId="17" fillId="2" borderId="9" xfId="7" applyNumberFormat="1" applyFont="1" applyFill="1" applyBorder="1" applyAlignment="1" applyProtection="1">
      <alignment horizontal="center" vertical="center"/>
    </xf>
    <xf numFmtId="0" fontId="17" fillId="2" borderId="14" xfId="5" applyFont="1" applyFill="1" applyBorder="1" applyAlignment="1">
      <alignment vertical="center" wrapText="1"/>
    </xf>
    <xf numFmtId="0" fontId="17" fillId="2" borderId="16" xfId="5" applyFont="1" applyFill="1" applyBorder="1" applyAlignment="1">
      <alignment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0" xfId="5" applyFont="1" applyFill="1" applyBorder="1" applyAlignment="1">
      <alignment horizontal="center" vertical="center"/>
    </xf>
    <xf numFmtId="0" fontId="17" fillId="2" borderId="11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horizontal="justify" vertical="center" wrapText="1"/>
    </xf>
    <xf numFmtId="0" fontId="24" fillId="2" borderId="9" xfId="5" applyFont="1" applyFill="1" applyBorder="1" applyAlignment="1">
      <alignment horizontal="center" vertical="center"/>
    </xf>
    <xf numFmtId="9" fontId="24" fillId="2" borderId="9" xfId="5" applyNumberFormat="1" applyFont="1" applyFill="1" applyBorder="1" applyAlignment="1">
      <alignment horizontal="center" vertical="center"/>
    </xf>
    <xf numFmtId="9" fontId="17" fillId="2" borderId="9" xfId="5" applyNumberFormat="1" applyFont="1" applyFill="1" applyBorder="1" applyAlignment="1">
      <alignment horizontal="center" vertical="center"/>
    </xf>
    <xf numFmtId="9" fontId="17" fillId="2" borderId="11" xfId="5" applyNumberFormat="1" applyFont="1" applyFill="1" applyBorder="1" applyAlignment="1">
      <alignment horizontal="center" vertical="center"/>
    </xf>
    <xf numFmtId="0" fontId="17" fillId="2" borderId="0" xfId="5" applyFont="1" applyFill="1" applyAlignment="1" applyProtection="1">
      <alignment vertical="center" wrapText="1"/>
      <protection locked="0"/>
    </xf>
    <xf numFmtId="0" fontId="17" fillId="2" borderId="12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 vertical="center"/>
    </xf>
    <xf numFmtId="0" fontId="17" fillId="2" borderId="0" xfId="5" applyFont="1" applyFill="1" applyAlignment="1" applyProtection="1">
      <alignment horizontal="left" vertical="center"/>
      <protection locked="0"/>
    </xf>
    <xf numFmtId="0" fontId="17" fillId="2" borderId="9" xfId="5" applyFont="1" applyFill="1" applyBorder="1" applyAlignment="1">
      <alignment horizontal="left" vertical="center" wrapText="1"/>
    </xf>
    <xf numFmtId="0" fontId="17" fillId="2" borderId="10" xfId="5" applyFont="1" applyFill="1" applyBorder="1" applyAlignment="1">
      <alignment horizontal="left" vertical="center" wrapText="1"/>
    </xf>
    <xf numFmtId="0" fontId="18" fillId="2" borderId="0" xfId="5" applyFont="1" applyFill="1" applyProtection="1">
      <protection locked="0"/>
    </xf>
    <xf numFmtId="0" fontId="17" fillId="8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left" vertical="center"/>
    </xf>
    <xf numFmtId="0" fontId="17" fillId="2" borderId="11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wrapText="1"/>
    </xf>
    <xf numFmtId="0" fontId="17" fillId="2" borderId="0" xfId="5" applyFont="1" applyFill="1" applyAlignment="1">
      <alignment horizontal="center" wrapText="1"/>
    </xf>
    <xf numFmtId="164" fontId="17" fillId="2" borderId="0" xfId="1" applyFont="1" applyFill="1" applyBorder="1" applyAlignment="1" applyProtection="1">
      <alignment wrapText="1"/>
    </xf>
    <xf numFmtId="164" fontId="17" fillId="2" borderId="0" xfId="1" applyFont="1" applyFill="1" applyBorder="1" applyAlignment="1" applyProtection="1"/>
    <xf numFmtId="0" fontId="17" fillId="2" borderId="0" xfId="5" applyFont="1" applyFill="1" applyAlignment="1" applyProtection="1">
      <alignment wrapText="1"/>
      <protection locked="0"/>
    </xf>
    <xf numFmtId="0" fontId="17" fillId="2" borderId="0" xfId="5" applyFont="1" applyFill="1" applyAlignment="1" applyProtection="1">
      <alignment horizontal="center" wrapText="1"/>
      <protection locked="0"/>
    </xf>
    <xf numFmtId="164" fontId="17" fillId="2" borderId="0" xfId="1" applyFont="1" applyFill="1" applyBorder="1" applyAlignment="1" applyProtection="1">
      <alignment wrapText="1"/>
      <protection locked="0"/>
    </xf>
    <xf numFmtId="164" fontId="17" fillId="2" borderId="0" xfId="1" applyFont="1" applyFill="1" applyBorder="1" applyAlignment="1" applyProtection="1">
      <protection locked="0"/>
    </xf>
    <xf numFmtId="0" fontId="17" fillId="2" borderId="0" xfId="5" applyFont="1" applyFill="1" applyAlignment="1" applyProtection="1">
      <alignment horizontal="left" vertical="center" wrapText="1"/>
      <protection locked="0"/>
    </xf>
    <xf numFmtId="0" fontId="17" fillId="2" borderId="0" xfId="5" applyFont="1" applyFill="1" applyAlignment="1" applyProtection="1">
      <alignment horizontal="center" vertical="center" wrapText="1"/>
      <protection locked="0"/>
    </xf>
    <xf numFmtId="164" fontId="17" fillId="2" borderId="0" xfId="1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Alignment="1" applyProtection="1">
      <alignment horizontal="left" wrapText="1"/>
      <protection locked="0"/>
    </xf>
    <xf numFmtId="0" fontId="17" fillId="2" borderId="0" xfId="5" applyFont="1" applyFill="1" applyAlignment="1" applyProtection="1">
      <alignment horizontal="left"/>
      <protection locked="0"/>
    </xf>
    <xf numFmtId="164" fontId="17" fillId="2" borderId="0" xfId="1" applyFont="1" applyFill="1" applyBorder="1" applyAlignment="1" applyProtection="1">
      <alignment horizontal="left" wrapText="1"/>
      <protection locked="0"/>
    </xf>
    <xf numFmtId="164" fontId="17" fillId="2" borderId="0" xfId="1" applyFont="1" applyFill="1" applyBorder="1" applyAlignment="1" applyProtection="1">
      <alignment horizontal="left"/>
      <protection locked="0"/>
    </xf>
    <xf numFmtId="167" fontId="17" fillId="2" borderId="9" xfId="1" applyNumberFormat="1" applyFont="1" applyFill="1" applyBorder="1" applyAlignment="1" applyProtection="1">
      <alignment horizontal="center" vertical="center" wrapText="1"/>
    </xf>
    <xf numFmtId="167" fontId="17" fillId="2" borderId="10" xfId="1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17" fillId="2" borderId="9" xfId="5" applyNumberFormat="1" applyFont="1" applyFill="1" applyBorder="1" applyAlignment="1">
      <alignment horizontal="center" vertical="center" wrapText="1"/>
    </xf>
    <xf numFmtId="167" fontId="17" fillId="2" borderId="10" xfId="5" applyNumberFormat="1" applyFont="1" applyFill="1" applyBorder="1" applyAlignment="1">
      <alignment horizontal="center" vertical="center" wrapText="1"/>
    </xf>
    <xf numFmtId="167" fontId="23" fillId="2" borderId="10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vertical="center" wrapText="1"/>
    </xf>
    <xf numFmtId="167" fontId="23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2" fillId="2" borderId="10" xfId="5" applyFont="1" applyFill="1" applyBorder="1" applyAlignment="1" applyProtection="1">
      <alignment horizontal="left" vertical="center" wrapText="1"/>
      <protection locked="0"/>
    </xf>
    <xf numFmtId="0" fontId="13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2" fillId="2" borderId="0" xfId="5" applyFont="1" applyFill="1" applyAlignment="1" applyProtection="1">
      <alignment horizontal="left" vertical="center"/>
      <protection locked="0"/>
    </xf>
    <xf numFmtId="0" fontId="12" fillId="12" borderId="9" xfId="5" applyFont="1" applyFill="1" applyBorder="1" applyAlignment="1">
      <alignment horizontal="left" vertical="center"/>
    </xf>
    <xf numFmtId="0" fontId="12" fillId="12" borderId="9" xfId="5" applyFont="1" applyFill="1" applyBorder="1" applyAlignment="1">
      <alignment horizontal="left" vertical="center" wrapText="1"/>
    </xf>
    <xf numFmtId="0" fontId="12" fillId="12" borderId="9" xfId="5" applyFont="1" applyFill="1" applyBorder="1" applyAlignment="1">
      <alignment vertical="center" wrapText="1"/>
    </xf>
    <xf numFmtId="0" fontId="12" fillId="2" borderId="10" xfId="5" applyFont="1" applyFill="1" applyBorder="1" applyAlignment="1">
      <alignment horizontal="left" vertical="center" wrapText="1"/>
    </xf>
    <xf numFmtId="0" fontId="17" fillId="12" borderId="9" xfId="5" applyFont="1" applyFill="1" applyBorder="1" applyAlignment="1">
      <alignment horizontal="center" vertical="center"/>
    </xf>
    <xf numFmtId="0" fontId="4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3" fontId="4" fillId="3" borderId="4" xfId="5" applyNumberFormat="1" applyFont="1" applyFill="1" applyBorder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8" fillId="2" borderId="0" xfId="4" applyFont="1" applyFill="1" applyAlignment="1" applyProtection="1">
      <alignment horizontal="right"/>
      <protection locked="0"/>
    </xf>
    <xf numFmtId="0" fontId="41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2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5" fillId="0" borderId="0" xfId="0" applyFont="1"/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left" vertical="center" indent="2"/>
    </xf>
    <xf numFmtId="0" fontId="25" fillId="0" borderId="0" xfId="0" applyFont="1" applyAlignment="1">
      <alignment horizontal="left" indent="2"/>
    </xf>
    <xf numFmtId="0" fontId="25" fillId="0" borderId="0" xfId="0" applyFont="1" applyAlignment="1">
      <alignment horizontal="left" vertical="center" indent="3"/>
    </xf>
    <xf numFmtId="0" fontId="25" fillId="0" borderId="0" xfId="0" applyFont="1" applyAlignment="1">
      <alignment horizontal="left"/>
    </xf>
    <xf numFmtId="0" fontId="25" fillId="0" borderId="0" xfId="0" applyFont="1" applyAlignment="1" applyProtection="1">
      <alignment horizontal="left" vertical="center" indent="1"/>
      <protection locked="0"/>
    </xf>
    <xf numFmtId="0" fontId="28" fillId="14" borderId="0" xfId="0" applyFont="1" applyFill="1" applyAlignment="1">
      <alignment vertical="center"/>
    </xf>
    <xf numFmtId="0" fontId="29" fillId="14" borderId="0" xfId="0" applyFont="1" applyFill="1"/>
    <xf numFmtId="0" fontId="29" fillId="14" borderId="0" xfId="0" applyFont="1" applyFill="1" applyAlignment="1">
      <alignment vertical="center"/>
    </xf>
    <xf numFmtId="0" fontId="29" fillId="14" borderId="0" xfId="0" applyFont="1" applyFill="1" applyAlignment="1">
      <alignment horizontal="left" vertical="center" indent="2"/>
    </xf>
    <xf numFmtId="0" fontId="29" fillId="14" borderId="0" xfId="0" applyFont="1" applyFill="1" applyAlignment="1">
      <alignment horizontal="left" vertical="center" indent="6"/>
    </xf>
    <xf numFmtId="0" fontId="0" fillId="14" borderId="0" xfId="0" applyFill="1"/>
    <xf numFmtId="0" fontId="29" fillId="14" borderId="0" xfId="0" applyFont="1" applyFill="1" applyAlignment="1">
      <alignment horizontal="left" vertical="center" indent="4"/>
    </xf>
    <xf numFmtId="0" fontId="32" fillId="14" borderId="0" xfId="0" applyFont="1" applyFill="1" applyAlignment="1">
      <alignment horizontal="left" vertical="center" indent="4"/>
    </xf>
    <xf numFmtId="0" fontId="32" fillId="14" borderId="0" xfId="0" applyFont="1" applyFill="1"/>
    <xf numFmtId="0" fontId="33" fillId="14" borderId="0" xfId="0" applyFont="1" applyFill="1"/>
    <xf numFmtId="0" fontId="42" fillId="14" borderId="0" xfId="0" applyFont="1" applyFill="1" applyAlignment="1">
      <alignment horizontal="left" vertical="center" indent="4"/>
    </xf>
    <xf numFmtId="0" fontId="43" fillId="14" borderId="0" xfId="0" applyFont="1" applyFill="1" applyAlignment="1">
      <alignment horizontal="left" vertical="center" indent="4"/>
    </xf>
    <xf numFmtId="0" fontId="21" fillId="2" borderId="0" xfId="6" applyFont="1" applyFill="1" applyAlignment="1">
      <alignment horizontal="center"/>
    </xf>
    <xf numFmtId="0" fontId="12" fillId="2" borderId="18" xfId="6" applyFont="1" applyFill="1" applyBorder="1" applyAlignment="1">
      <alignment horizontal="center" vertical="center" wrapText="1"/>
    </xf>
    <xf numFmtId="2" fontId="12" fillId="2" borderId="10" xfId="6" applyNumberFormat="1" applyFont="1" applyFill="1" applyBorder="1" applyAlignment="1">
      <alignment horizontal="left" vertical="center" wrapText="1"/>
    </xf>
    <xf numFmtId="0" fontId="12" fillId="2" borderId="19" xfId="6" applyFont="1" applyFill="1" applyBorder="1" applyAlignment="1">
      <alignment horizontal="center" vertical="center" wrapText="1"/>
    </xf>
    <xf numFmtId="2" fontId="12" fillId="2" borderId="20" xfId="6" applyNumberFormat="1" applyFont="1" applyFill="1" applyBorder="1" applyAlignment="1">
      <alignment horizontal="left" vertical="center" wrapText="1"/>
    </xf>
    <xf numFmtId="0" fontId="22" fillId="2" borderId="0" xfId="6" applyFont="1" applyFill="1" applyProtection="1">
      <protection locked="0"/>
    </xf>
    <xf numFmtId="0" fontId="12" fillId="2" borderId="21" xfId="6" applyFont="1" applyFill="1" applyBorder="1" applyAlignment="1" applyProtection="1">
      <alignment horizontal="left" vertical="center" wrapText="1"/>
      <protection locked="0"/>
    </xf>
    <xf numFmtId="0" fontId="12" fillId="2" borderId="10" xfId="6" applyFont="1" applyFill="1" applyBorder="1" applyAlignment="1" applyProtection="1">
      <alignment horizontal="left" vertical="center" wrapText="1"/>
      <protection locked="0"/>
    </xf>
    <xf numFmtId="0" fontId="12" fillId="2" borderId="22" xfId="6" applyFont="1" applyFill="1" applyBorder="1" applyAlignment="1" applyProtection="1">
      <alignment horizontal="left" vertical="center" wrapText="1"/>
      <protection locked="0"/>
    </xf>
    <xf numFmtId="0" fontId="12" fillId="2" borderId="23" xfId="6" applyFont="1" applyFill="1" applyBorder="1" applyAlignment="1" applyProtection="1">
      <alignment horizontal="left" vertical="center" wrapText="1"/>
      <protection locked="0"/>
    </xf>
    <xf numFmtId="0" fontId="12" fillId="2" borderId="20" xfId="6" applyFont="1" applyFill="1" applyBorder="1" applyAlignment="1" applyProtection="1">
      <alignment horizontal="left" vertical="center" wrapText="1"/>
      <protection locked="0"/>
    </xf>
    <xf numFmtId="0" fontId="12" fillId="2" borderId="24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19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4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horizontal="left" vertical="center"/>
    </xf>
    <xf numFmtId="167" fontId="20" fillId="2" borderId="0" xfId="1" applyNumberFormat="1" applyFont="1" applyFill="1" applyBorder="1" applyAlignment="1" applyProtection="1">
      <alignment horizontal="center" vertical="center" wrapText="1"/>
    </xf>
    <xf numFmtId="2" fontId="20" fillId="2" borderId="0" xfId="5" applyNumberFormat="1" applyFont="1" applyFill="1" applyAlignment="1">
      <alignment horizontal="left" vertical="center" wrapText="1"/>
    </xf>
    <xf numFmtId="0" fontId="12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2" fillId="2" borderId="0" xfId="5" applyFont="1" applyFill="1" applyAlignment="1">
      <alignment horizontal="center" vertical="center"/>
    </xf>
    <xf numFmtId="0" fontId="37" fillId="2" borderId="0" xfId="5" applyFont="1" applyFill="1" applyAlignment="1">
      <alignment vertical="center"/>
    </xf>
    <xf numFmtId="0" fontId="12" fillId="2" borderId="0" xfId="5" applyFont="1" applyFill="1" applyAlignment="1" applyProtection="1">
      <alignment vertical="center"/>
      <protection locked="0" hidden="1"/>
    </xf>
    <xf numFmtId="0" fontId="14" fillId="2" borderId="0" xfId="5" applyFont="1" applyFill="1" applyAlignment="1" applyProtection="1">
      <alignment vertical="center"/>
      <protection locked="0"/>
    </xf>
    <xf numFmtId="0" fontId="14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7" fillId="2" borderId="9" xfId="1" applyFont="1" applyFill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1" fillId="2" borderId="0" xfId="4" applyFont="1" applyFill="1"/>
    <xf numFmtId="2" fontId="11" fillId="2" borderId="0" xfId="4" applyNumberFormat="1" applyFont="1" applyFill="1"/>
    <xf numFmtId="0" fontId="11" fillId="2" borderId="0" xfId="4" applyFont="1" applyFill="1" applyAlignment="1">
      <alignment horizontal="left"/>
    </xf>
    <xf numFmtId="2" fontId="2" fillId="2" borderId="0" xfId="4" applyNumberFormat="1" applyFill="1"/>
    <xf numFmtId="0" fontId="10" fillId="2" borderId="0" xfId="4" applyFont="1" applyFill="1" applyAlignment="1">
      <alignment wrapText="1"/>
    </xf>
    <xf numFmtId="0" fontId="35" fillId="14" borderId="0" xfId="3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5" fillId="0" borderId="17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168" fontId="0" fillId="0" borderId="17" xfId="0" applyNumberFormat="1" applyBorder="1" applyProtection="1">
      <protection locked="0"/>
    </xf>
    <xf numFmtId="168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8" fontId="25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left" vertical="center" indent="1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6" fillId="0" borderId="0" xfId="0" applyFont="1" applyAlignment="1">
      <alignment wrapText="1"/>
    </xf>
    <xf numFmtId="0" fontId="14" fillId="2" borderId="0" xfId="5" applyFont="1" applyFill="1" applyAlignment="1">
      <alignment horizontal="left" vertical="center" wrapText="1"/>
    </xf>
    <xf numFmtId="0" fontId="7" fillId="2" borderId="9" xfId="5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25" fillId="0" borderId="26" xfId="0" applyFont="1" applyBorder="1" applyAlignment="1" applyProtection="1">
      <alignment vertical="center"/>
      <protection locked="0"/>
    </xf>
    <xf numFmtId="3" fontId="44" fillId="0" borderId="4" xfId="5" applyNumberFormat="1" applyFont="1" applyBorder="1" applyAlignment="1" applyProtection="1">
      <alignment horizontal="center"/>
      <protection locked="0"/>
    </xf>
    <xf numFmtId="3" fontId="44" fillId="2" borderId="4" xfId="5" applyNumberFormat="1" applyFont="1" applyFill="1" applyBorder="1" applyAlignment="1" applyProtection="1">
      <alignment horizont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15" fontId="25" fillId="0" borderId="17" xfId="0" applyNumberFormat="1" applyFont="1" applyBorder="1" applyAlignment="1" applyProtection="1">
      <alignment horizontal="left" vertical="center" indent="1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3" fontId="44" fillId="0" borderId="1" xfId="5" applyNumberFormat="1" applyFont="1" applyBorder="1" applyAlignment="1" applyProtection="1">
      <alignment horizontal="center"/>
      <protection locked="0"/>
    </xf>
    <xf numFmtId="0" fontId="44" fillId="2" borderId="2" xfId="4" applyFont="1" applyFill="1" applyBorder="1" applyProtection="1">
      <protection locked="0" hidden="1"/>
    </xf>
    <xf numFmtId="3" fontId="44" fillId="0" borderId="3" xfId="5" applyNumberFormat="1" applyFont="1" applyBorder="1" applyAlignment="1" applyProtection="1">
      <alignment horizontal="center"/>
      <protection locked="0"/>
    </xf>
    <xf numFmtId="0" fontId="47" fillId="15" borderId="25" xfId="0" applyFont="1" applyFill="1" applyBorder="1" applyAlignment="1" applyProtection="1">
      <alignment horizontal="center" vertical="center" wrapText="1"/>
      <protection locked="0"/>
    </xf>
    <xf numFmtId="3" fontId="44" fillId="2" borderId="3" xfId="5" applyNumberFormat="1" applyFont="1" applyFill="1" applyBorder="1" applyAlignment="1" applyProtection="1">
      <alignment horizontal="center"/>
      <protection locked="0"/>
    </xf>
    <xf numFmtId="3" fontId="44" fillId="2" borderId="1" xfId="5" applyNumberFormat="1" applyFont="1" applyFill="1" applyBorder="1" applyAlignment="1" applyProtection="1">
      <alignment horizontal="center"/>
      <protection locked="0"/>
    </xf>
    <xf numFmtId="0" fontId="44" fillId="2" borderId="6" xfId="4" applyFont="1" applyFill="1" applyBorder="1" applyProtection="1">
      <protection locked="0" hidden="1"/>
    </xf>
    <xf numFmtId="0" fontId="48" fillId="16" borderId="27" xfId="0" applyFont="1" applyFill="1" applyBorder="1" applyAlignment="1" applyProtection="1">
      <alignment horizontal="center" vertical="center" wrapText="1"/>
      <protection locked="0"/>
    </xf>
    <xf numFmtId="0" fontId="52" fillId="2" borderId="0" xfId="5" applyFont="1" applyFill="1" applyAlignment="1" applyProtection="1">
      <alignment wrapText="1"/>
      <protection locked="0"/>
    </xf>
    <xf numFmtId="0" fontId="53" fillId="2" borderId="0" xfId="5" applyFont="1" applyFill="1" applyAlignment="1" applyProtection="1">
      <alignment vertical="center" wrapText="1"/>
      <protection locked="0"/>
    </xf>
    <xf numFmtId="0" fontId="52" fillId="2" borderId="0" xfId="5" applyFont="1" applyFill="1" applyAlignment="1" applyProtection="1">
      <alignment vertical="center" wrapText="1"/>
      <protection locked="0"/>
    </xf>
    <xf numFmtId="0" fontId="51" fillId="2" borderId="0" xfId="4" applyFont="1" applyFill="1" applyBorder="1" applyAlignment="1" applyProtection="1">
      <alignment horizontal="center"/>
      <protection locked="0"/>
    </xf>
    <xf numFmtId="0" fontId="16" fillId="2" borderId="17" xfId="4" applyFont="1" applyFill="1" applyBorder="1" applyAlignment="1" applyProtection="1">
      <alignment horizontal="center" vertical="center"/>
      <protection locked="0"/>
    </xf>
    <xf numFmtId="0" fontId="16" fillId="2" borderId="17" xfId="4" applyFont="1" applyFill="1" applyBorder="1" applyProtection="1">
      <protection locked="0"/>
    </xf>
    <xf numFmtId="0" fontId="8" fillId="2" borderId="17" xfId="4" applyFont="1" applyFill="1" applyBorder="1" applyProtection="1">
      <protection locked="0"/>
    </xf>
    <xf numFmtId="0" fontId="16" fillId="2" borderId="0" xfId="4" applyFont="1" applyFill="1" applyProtection="1">
      <protection locked="0"/>
    </xf>
    <xf numFmtId="0" fontId="54" fillId="2" borderId="17" xfId="4" applyFont="1" applyFill="1" applyBorder="1" applyProtection="1">
      <protection locked="0"/>
    </xf>
    <xf numFmtId="0" fontId="16" fillId="2" borderId="0" xfId="4" applyFont="1" applyFill="1" applyAlignment="1" applyProtection="1">
      <alignment horizontal="center" vertical="center"/>
      <protection locked="0"/>
    </xf>
    <xf numFmtId="0" fontId="54" fillId="2" borderId="0" xfId="4" applyFont="1" applyFill="1" applyProtection="1">
      <protection locked="0"/>
    </xf>
    <xf numFmtId="0" fontId="48" fillId="17" borderId="28" xfId="0" applyFont="1" applyFill="1" applyBorder="1" applyAlignment="1" applyProtection="1">
      <alignment vertical="center" wrapText="1"/>
      <protection locked="0"/>
    </xf>
    <xf numFmtId="0" fontId="48" fillId="17" borderId="29" xfId="0" applyFont="1" applyFill="1" applyBorder="1" applyAlignment="1" applyProtection="1">
      <alignment vertical="center" wrapText="1"/>
      <protection locked="0"/>
    </xf>
    <xf numFmtId="17" fontId="12" fillId="2" borderId="21" xfId="6" quotePrefix="1" applyNumberFormat="1" applyFont="1" applyFill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left"/>
      <protection locked="0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21" fillId="2" borderId="31" xfId="6" applyFont="1" applyFill="1" applyBorder="1" applyAlignment="1">
      <alignment horizontal="center"/>
    </xf>
    <xf numFmtId="0" fontId="21" fillId="2" borderId="32" xfId="6" applyFont="1" applyFill="1" applyBorder="1" applyAlignment="1">
      <alignment horizontal="center"/>
    </xf>
    <xf numFmtId="0" fontId="21" fillId="2" borderId="33" xfId="6" applyFont="1" applyFill="1" applyBorder="1" applyAlignment="1">
      <alignment horizontal="center"/>
    </xf>
    <xf numFmtId="0" fontId="21" fillId="2" borderId="34" xfId="6" applyFont="1" applyFill="1" applyBorder="1" applyAlignment="1">
      <alignment horizontal="center"/>
    </xf>
    <xf numFmtId="0" fontId="21" fillId="2" borderId="35" xfId="6" applyFont="1" applyFill="1" applyBorder="1" applyAlignment="1">
      <alignment horizontal="center"/>
    </xf>
    <xf numFmtId="0" fontId="12" fillId="2" borderId="36" xfId="6" applyFont="1" applyFill="1" applyBorder="1" applyAlignment="1">
      <alignment horizontal="center" vertical="center" wrapText="1"/>
    </xf>
    <xf numFmtId="2" fontId="12" fillId="2" borderId="37" xfId="6" applyNumberFormat="1" applyFont="1" applyFill="1" applyBorder="1" applyAlignment="1">
      <alignment horizontal="left" vertical="center" wrapText="1"/>
    </xf>
    <xf numFmtId="0" fontId="48" fillId="16" borderId="38" xfId="0" applyFont="1" applyFill="1" applyBorder="1" applyAlignment="1" applyProtection="1">
      <alignment horizontal="center" vertical="center" wrapText="1"/>
      <protection locked="0"/>
    </xf>
    <xf numFmtId="0" fontId="12" fillId="2" borderId="39" xfId="6" applyFont="1" applyFill="1" applyBorder="1" applyAlignment="1" applyProtection="1">
      <alignment horizontal="left" vertical="center" wrapText="1"/>
      <protection locked="0"/>
    </xf>
    <xf numFmtId="0" fontId="12" fillId="2" borderId="40" xfId="6" applyFont="1" applyFill="1" applyBorder="1" applyAlignment="1" applyProtection="1">
      <alignment horizontal="left" vertical="center" wrapText="1"/>
      <protection locked="0"/>
    </xf>
    <xf numFmtId="0" fontId="12" fillId="2" borderId="41" xfId="6" applyFont="1" applyFill="1" applyBorder="1" applyAlignment="1">
      <alignment horizontal="center" vertical="center" wrapText="1"/>
    </xf>
    <xf numFmtId="2" fontId="12" fillId="2" borderId="42" xfId="6" applyNumberFormat="1" applyFont="1" applyFill="1" applyBorder="1" applyAlignment="1">
      <alignment horizontal="left" vertical="center" wrapText="1"/>
    </xf>
    <xf numFmtId="0" fontId="48" fillId="16" borderId="30" xfId="0" applyFont="1" applyFill="1" applyBorder="1" applyAlignment="1" applyProtection="1">
      <alignment horizontal="center" vertical="center" wrapText="1"/>
      <protection locked="0"/>
    </xf>
    <xf numFmtId="0" fontId="12" fillId="2" borderId="43" xfId="6" applyFont="1" applyFill="1" applyBorder="1" applyAlignment="1" applyProtection="1">
      <alignment horizontal="left" vertical="center" wrapText="1"/>
      <protection locked="0"/>
    </xf>
    <xf numFmtId="0" fontId="12" fillId="2" borderId="44" xfId="6" applyFont="1" applyFill="1" applyBorder="1" applyAlignment="1" applyProtection="1">
      <alignment horizontal="left" vertical="center" wrapText="1"/>
      <protection locked="0"/>
    </xf>
    <xf numFmtId="0" fontId="12" fillId="2" borderId="45" xfId="6" applyFont="1" applyFill="1" applyBorder="1" applyAlignment="1">
      <alignment horizontal="center" vertical="center" wrapText="1"/>
    </xf>
    <xf numFmtId="2" fontId="12" fillId="2" borderId="16" xfId="6" applyNumberFormat="1" applyFont="1" applyFill="1" applyBorder="1" applyAlignment="1">
      <alignment horizontal="left" vertical="center" wrapText="1"/>
    </xf>
    <xf numFmtId="0" fontId="48" fillId="16" borderId="46" xfId="0" applyFont="1" applyFill="1" applyBorder="1" applyAlignment="1" applyProtection="1">
      <alignment horizontal="center" vertical="center" wrapText="1"/>
      <protection locked="0"/>
    </xf>
    <xf numFmtId="0" fontId="12" fillId="2" borderId="47" xfId="6" applyFont="1" applyFill="1" applyBorder="1" applyAlignment="1" applyProtection="1">
      <alignment horizontal="left" vertical="center" wrapText="1"/>
      <protection locked="0"/>
    </xf>
    <xf numFmtId="0" fontId="12" fillId="2" borderId="48" xfId="6" applyFont="1" applyFill="1" applyBorder="1" applyAlignment="1" applyProtection="1">
      <alignment horizontal="left" vertical="center" wrapText="1"/>
      <protection locked="0"/>
    </xf>
    <xf numFmtId="0" fontId="12" fillId="2" borderId="37" xfId="6" applyFont="1" applyFill="1" applyBorder="1" applyAlignment="1" applyProtection="1">
      <alignment horizontal="left" vertical="center" wrapText="1"/>
      <protection locked="0"/>
    </xf>
    <xf numFmtId="0" fontId="48" fillId="17" borderId="49" xfId="0" applyFont="1" applyFill="1" applyBorder="1" applyAlignment="1" applyProtection="1">
      <alignment vertical="center" wrapText="1"/>
      <protection locked="0"/>
    </xf>
    <xf numFmtId="0" fontId="48" fillId="17" borderId="50" xfId="0" applyFont="1" applyFill="1" applyBorder="1" applyAlignment="1" applyProtection="1">
      <alignment horizontal="center" vertical="center" wrapText="1"/>
      <protection locked="0"/>
    </xf>
    <xf numFmtId="0" fontId="48" fillId="17" borderId="50" xfId="0" applyFont="1" applyFill="1" applyBorder="1" applyAlignment="1" applyProtection="1">
      <alignment vertical="center" wrapText="1"/>
      <protection locked="0"/>
    </xf>
    <xf numFmtId="0" fontId="48" fillId="17" borderId="51" xfId="0" applyFont="1" applyFill="1" applyBorder="1" applyAlignment="1" applyProtection="1">
      <alignment vertical="center" wrapText="1"/>
      <protection locked="0"/>
    </xf>
    <xf numFmtId="0" fontId="21" fillId="2" borderId="52" xfId="6" applyFont="1" applyFill="1" applyBorder="1" applyAlignment="1">
      <alignment horizontal="center"/>
    </xf>
    <xf numFmtId="0" fontId="12" fillId="2" borderId="53" xfId="6" applyFont="1" applyFill="1" applyBorder="1" applyAlignment="1">
      <alignment horizontal="left" vertical="center" wrapText="1"/>
    </xf>
    <xf numFmtId="0" fontId="12" fillId="2" borderId="54" xfId="6" applyFont="1" applyFill="1" applyBorder="1" applyAlignment="1">
      <alignment horizontal="left" vertical="center" wrapText="1"/>
    </xf>
    <xf numFmtId="0" fontId="12" fillId="2" borderId="55" xfId="6" applyFont="1" applyFill="1" applyBorder="1" applyAlignment="1">
      <alignment horizontal="left" vertical="center" wrapText="1"/>
    </xf>
    <xf numFmtId="0" fontId="12" fillId="2" borderId="56" xfId="6" applyFont="1" applyFill="1" applyBorder="1" applyAlignment="1">
      <alignment horizontal="left" vertical="center" wrapText="1"/>
    </xf>
    <xf numFmtId="0" fontId="12" fillId="2" borderId="57" xfId="6" applyFont="1" applyFill="1" applyBorder="1" applyAlignment="1">
      <alignment horizontal="left" vertical="center" wrapText="1"/>
    </xf>
    <xf numFmtId="0" fontId="48" fillId="16" borderId="58" xfId="0" applyFont="1" applyFill="1" applyBorder="1" applyAlignment="1" applyProtection="1">
      <alignment wrapText="1"/>
      <protection locked="0"/>
    </xf>
    <xf numFmtId="0" fontId="48" fillId="16" borderId="59" xfId="0" applyFont="1" applyFill="1" applyBorder="1" applyAlignment="1" applyProtection="1">
      <alignment wrapText="1"/>
      <protection locked="0"/>
    </xf>
    <xf numFmtId="0" fontId="48" fillId="16" borderId="60" xfId="0" applyFont="1" applyFill="1" applyBorder="1" applyAlignment="1" applyProtection="1">
      <alignment wrapText="1"/>
      <protection locked="0"/>
    </xf>
    <xf numFmtId="0" fontId="48" fillId="16" borderId="61" xfId="0" applyFont="1" applyFill="1" applyBorder="1" applyAlignment="1" applyProtection="1">
      <alignment wrapText="1"/>
      <protection locked="0"/>
    </xf>
    <xf numFmtId="0" fontId="12" fillId="2" borderId="62" xfId="6" applyFont="1" applyFill="1" applyBorder="1" applyAlignment="1" applyProtection="1">
      <alignment horizontal="left" vertical="center" wrapText="1"/>
      <protection locked="0"/>
    </xf>
    <xf numFmtId="0" fontId="12" fillId="2" borderId="63" xfId="6" applyFont="1" applyFill="1" applyBorder="1" applyAlignment="1" applyProtection="1">
      <alignment horizontal="left" vertical="center" wrapText="1"/>
      <protection locked="0"/>
    </xf>
    <xf numFmtId="0" fontId="12" fillId="2" borderId="64" xfId="6" applyFont="1" applyFill="1" applyBorder="1" applyAlignment="1" applyProtection="1">
      <alignment horizontal="left" vertical="center" wrapText="1"/>
      <protection locked="0"/>
    </xf>
    <xf numFmtId="0" fontId="48" fillId="17" borderId="65" xfId="0" applyFont="1" applyFill="1" applyBorder="1" applyAlignment="1" applyProtection="1">
      <alignment wrapText="1"/>
      <protection locked="0"/>
    </xf>
    <xf numFmtId="0" fontId="48" fillId="17" borderId="66" xfId="0" applyFont="1" applyFill="1" applyBorder="1" applyAlignment="1" applyProtection="1">
      <alignment vertical="center" wrapText="1"/>
      <protection locked="0"/>
    </xf>
    <xf numFmtId="0" fontId="48" fillId="17" borderId="67" xfId="0" applyFont="1" applyFill="1" applyBorder="1" applyAlignment="1" applyProtection="1">
      <alignment vertical="center" wrapText="1"/>
      <protection locked="0"/>
    </xf>
    <xf numFmtId="0" fontId="12" fillId="2" borderId="68" xfId="6" applyFont="1" applyFill="1" applyBorder="1" applyAlignment="1" applyProtection="1">
      <alignment horizontal="left" vertical="center" wrapText="1"/>
      <protection locked="0"/>
    </xf>
    <xf numFmtId="0" fontId="12" fillId="2" borderId="69" xfId="6" applyFont="1" applyFill="1" applyBorder="1" applyAlignment="1" applyProtection="1">
      <alignment horizontal="left" vertical="center" wrapText="1"/>
      <protection locked="0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1.6923076923076923</c:v>
                </c:pt>
                <c:pt idx="1">
                  <c:v>2.6666666666666665</c:v>
                </c:pt>
                <c:pt idx="2">
                  <c:v>2.5833333333333335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4D1-80FD-521CBF02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6127"/>
        <c:axId val="1"/>
      </c:radarChart>
      <c:catAx>
        <c:axId val="34384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4384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1105972</xdr:colOff>
      <xdr:row>53</xdr:row>
      <xdr:rowOff>84117</xdr:rowOff>
    </xdr:from>
    <xdr:to>
      <xdr:col>18</xdr:col>
      <xdr:colOff>947753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37994-FE25-DC4B-50EC-CBCD55FF3054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13154</xdr:colOff>
      <xdr:row>304</xdr:row>
      <xdr:rowOff>74384</xdr:rowOff>
    </xdr:from>
    <xdr:to>
      <xdr:col>15</xdr:col>
      <xdr:colOff>2944</xdr:colOff>
      <xdr:row>309</xdr:row>
      <xdr:rowOff>113083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D6678-5398-72A6-5080-66413993A7D4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4" name="AutoShape 1">
          <a:extLst>
            <a:ext uri="{FF2B5EF4-FFF2-40B4-BE49-F238E27FC236}">
              <a16:creationId xmlns:a16="http://schemas.microsoft.com/office/drawing/2014/main" id="{EAD1EF2F-4901-234B-2E77-2D58F47E18F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5" name="AutoShape 1">
          <a:extLst>
            <a:ext uri="{FF2B5EF4-FFF2-40B4-BE49-F238E27FC236}">
              <a16:creationId xmlns:a16="http://schemas.microsoft.com/office/drawing/2014/main" id="{E34CFD5F-3F0B-1DC4-B781-2BE77B8940B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6" name="AutoShape 1">
          <a:extLst>
            <a:ext uri="{FF2B5EF4-FFF2-40B4-BE49-F238E27FC236}">
              <a16:creationId xmlns:a16="http://schemas.microsoft.com/office/drawing/2014/main" id="{90B2F5D8-3676-19D0-C0A5-AB8E7F24C14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7" name="AutoShape 1">
          <a:extLst>
            <a:ext uri="{FF2B5EF4-FFF2-40B4-BE49-F238E27FC236}">
              <a16:creationId xmlns:a16="http://schemas.microsoft.com/office/drawing/2014/main" id="{9118F55D-13F9-5FE0-2F7D-0661E9EC9B6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8" name="AutoShape 1">
          <a:extLst>
            <a:ext uri="{FF2B5EF4-FFF2-40B4-BE49-F238E27FC236}">
              <a16:creationId xmlns:a16="http://schemas.microsoft.com/office/drawing/2014/main" id="{9E11FA49-39AF-D67D-CCB5-CB9016DC4FF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9" name="AutoShape 1">
          <a:extLst>
            <a:ext uri="{FF2B5EF4-FFF2-40B4-BE49-F238E27FC236}">
              <a16:creationId xmlns:a16="http://schemas.microsoft.com/office/drawing/2014/main" id="{95A39D9D-0DAC-9630-7761-A8F17D18E2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0" name="AutoShape 1">
          <a:extLst>
            <a:ext uri="{FF2B5EF4-FFF2-40B4-BE49-F238E27FC236}">
              <a16:creationId xmlns:a16="http://schemas.microsoft.com/office/drawing/2014/main" id="{5B2AF1EA-7E6B-0DCE-651A-95CD65EF84E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1" name="AutoShape 1">
          <a:extLst>
            <a:ext uri="{FF2B5EF4-FFF2-40B4-BE49-F238E27FC236}">
              <a16:creationId xmlns:a16="http://schemas.microsoft.com/office/drawing/2014/main" id="{F46C8296-AC7D-515A-8758-46F7C689BD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2" name="AutoShape 1">
          <a:extLst>
            <a:ext uri="{FF2B5EF4-FFF2-40B4-BE49-F238E27FC236}">
              <a16:creationId xmlns:a16="http://schemas.microsoft.com/office/drawing/2014/main" id="{4C329E70-4B9F-0E19-5025-DBACE962F9F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3" name="AutoShape 1">
          <a:extLst>
            <a:ext uri="{FF2B5EF4-FFF2-40B4-BE49-F238E27FC236}">
              <a16:creationId xmlns:a16="http://schemas.microsoft.com/office/drawing/2014/main" id="{A1DC8316-479E-3955-260E-60D51B855F9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4" name="AutoShape 1">
          <a:extLst>
            <a:ext uri="{FF2B5EF4-FFF2-40B4-BE49-F238E27FC236}">
              <a16:creationId xmlns:a16="http://schemas.microsoft.com/office/drawing/2014/main" id="{0AC893E7-5160-2905-8696-26A15025B377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5" name="AutoShape 1">
          <a:extLst>
            <a:ext uri="{FF2B5EF4-FFF2-40B4-BE49-F238E27FC236}">
              <a16:creationId xmlns:a16="http://schemas.microsoft.com/office/drawing/2014/main" id="{05D93082-8194-1567-0158-81BF8DF71C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6F7F6D00-9953-538D-D731-CDAED6DBFC82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7" name="AutoShape 1">
          <a:extLst>
            <a:ext uri="{FF2B5EF4-FFF2-40B4-BE49-F238E27FC236}">
              <a16:creationId xmlns:a16="http://schemas.microsoft.com/office/drawing/2014/main" id="{EF90E6ED-63BE-FF5D-96A3-972E81FE67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8" name="AutoShape 1">
          <a:extLst>
            <a:ext uri="{FF2B5EF4-FFF2-40B4-BE49-F238E27FC236}">
              <a16:creationId xmlns:a16="http://schemas.microsoft.com/office/drawing/2014/main" id="{2ADCEEFF-D347-06C9-E2F4-1D41A692FB4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9" name="AutoShape 1">
          <a:extLst>
            <a:ext uri="{FF2B5EF4-FFF2-40B4-BE49-F238E27FC236}">
              <a16:creationId xmlns:a16="http://schemas.microsoft.com/office/drawing/2014/main" id="{B5BEF5CA-9547-1383-4386-1F2452A08E6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1146175</xdr:colOff>
      <xdr:row>0</xdr:row>
      <xdr:rowOff>35718</xdr:rowOff>
    </xdr:from>
    <xdr:to>
      <xdr:col>9</xdr:col>
      <xdr:colOff>2555344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9A4EB-2354-D1A2-B774-B4979D4C0A6A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100</xdr:row>
      <xdr:rowOff>57150</xdr:rowOff>
    </xdr:from>
    <xdr:to>
      <xdr:col>7</xdr:col>
      <xdr:colOff>2241550</xdr:colOff>
      <xdr:row>109</xdr:row>
      <xdr:rowOff>146050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7B658334-BCEB-F776-82A7-DAC722C7E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974970</xdr:colOff>
      <xdr:row>110</xdr:row>
      <xdr:rowOff>43962</xdr:rowOff>
    </xdr:from>
    <xdr:to>
      <xdr:col>7</xdr:col>
      <xdr:colOff>2248853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E34A-5B39-48A8-3196-0E53E12C82FC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757161</xdr:colOff>
      <xdr:row>49</xdr:row>
      <xdr:rowOff>115082</xdr:rowOff>
    </xdr:from>
    <xdr:to>
      <xdr:col>6</xdr:col>
      <xdr:colOff>1891320</xdr:colOff>
      <xdr:row>53</xdr:row>
      <xdr:rowOff>138156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D9775-2EC3-8D79-884F-95B2AB008F8B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zoomScale="130" zoomScaleNormal="130" zoomScaleSheetLayoutView="115" workbookViewId="0">
      <selection activeCell="A27" sqref="A27"/>
    </sheetView>
  </sheetViews>
  <sheetFormatPr defaultColWidth="9.1796875" defaultRowHeight="15.5" outlineLevelRow="1" x14ac:dyDescent="0.35"/>
  <cols>
    <col min="1" max="2" width="9.1796875" style="263"/>
    <col min="3" max="16384" width="9.1796875" style="267"/>
  </cols>
  <sheetData>
    <row r="1" spans="1:1" x14ac:dyDescent="0.35">
      <c r="A1" s="262" t="s">
        <v>517</v>
      </c>
    </row>
    <row r="2" spans="1:1" x14ac:dyDescent="0.35">
      <c r="A2" s="264"/>
    </row>
    <row r="3" spans="1:1" x14ac:dyDescent="0.35">
      <c r="A3" s="264" t="s">
        <v>628</v>
      </c>
    </row>
    <row r="4" spans="1:1" x14ac:dyDescent="0.35">
      <c r="A4" s="265" t="s">
        <v>629</v>
      </c>
    </row>
    <row r="5" spans="1:1" hidden="1" outlineLevel="1" x14ac:dyDescent="0.35">
      <c r="A5" s="266" t="s">
        <v>542</v>
      </c>
    </row>
    <row r="6" spans="1:1" ht="18.5" hidden="1" outlineLevel="1" x14ac:dyDescent="0.35">
      <c r="A6" s="266" t="s">
        <v>627</v>
      </c>
    </row>
    <row r="7" spans="1:1" hidden="1" outlineLevel="1" x14ac:dyDescent="0.35">
      <c r="A7" s="266" t="s">
        <v>543</v>
      </c>
    </row>
    <row r="8" spans="1:1" hidden="1" outlineLevel="1" x14ac:dyDescent="0.35">
      <c r="A8" s="266" t="s">
        <v>544</v>
      </c>
    </row>
    <row r="9" spans="1:1" hidden="1" outlineLevel="1" x14ac:dyDescent="0.35">
      <c r="A9" s="266" t="s">
        <v>545</v>
      </c>
    </row>
    <row r="10" spans="1:1" hidden="1" outlineLevel="1" x14ac:dyDescent="0.35">
      <c r="A10" s="266" t="s">
        <v>546</v>
      </c>
    </row>
    <row r="11" spans="1:1" hidden="1" outlineLevel="1" x14ac:dyDescent="0.35">
      <c r="A11" s="266" t="s">
        <v>547</v>
      </c>
    </row>
    <row r="12" spans="1:1" hidden="1" outlineLevel="1" x14ac:dyDescent="0.35">
      <c r="A12" s="266" t="s">
        <v>548</v>
      </c>
    </row>
    <row r="13" spans="1:1" collapsed="1" x14ac:dyDescent="0.35">
      <c r="A13" s="266"/>
    </row>
    <row r="14" spans="1:1" x14ac:dyDescent="0.35">
      <c r="A14" s="265" t="s">
        <v>589</v>
      </c>
    </row>
    <row r="15" spans="1:1" hidden="1" outlineLevel="1" x14ac:dyDescent="0.35">
      <c r="A15" s="266" t="s">
        <v>549</v>
      </c>
    </row>
    <row r="16" spans="1:1" hidden="1" outlineLevel="1" x14ac:dyDescent="0.35">
      <c r="A16" s="266" t="s">
        <v>550</v>
      </c>
    </row>
    <row r="17" spans="1:2" hidden="1" outlineLevel="1" x14ac:dyDescent="0.35">
      <c r="A17" s="266" t="s">
        <v>551</v>
      </c>
    </row>
    <row r="18" spans="1:2" hidden="1" outlineLevel="1" x14ac:dyDescent="0.35">
      <c r="A18" s="266" t="s">
        <v>552</v>
      </c>
    </row>
    <row r="19" spans="1:2" hidden="1" outlineLevel="1" x14ac:dyDescent="0.35">
      <c r="A19" s="266" t="s">
        <v>553</v>
      </c>
    </row>
    <row r="20" spans="1:2" hidden="1" outlineLevel="1" x14ac:dyDescent="0.35">
      <c r="A20" s="266" t="s">
        <v>554</v>
      </c>
    </row>
    <row r="21" spans="1:2" hidden="1" outlineLevel="1" x14ac:dyDescent="0.35">
      <c r="A21" s="266" t="s">
        <v>555</v>
      </c>
    </row>
    <row r="22" spans="1:2" hidden="1" outlineLevel="1" x14ac:dyDescent="0.35">
      <c r="A22" s="266" t="s">
        <v>556</v>
      </c>
    </row>
    <row r="23" spans="1:2" hidden="1" outlineLevel="1" x14ac:dyDescent="0.35">
      <c r="A23" s="266" t="s">
        <v>557</v>
      </c>
    </row>
    <row r="24" spans="1:2" hidden="1" outlineLevel="1" x14ac:dyDescent="0.35">
      <c r="A24" s="266" t="s">
        <v>558</v>
      </c>
    </row>
    <row r="25" spans="1:2" hidden="1" outlineLevel="1" x14ac:dyDescent="0.35">
      <c r="A25" s="266" t="s">
        <v>559</v>
      </c>
    </row>
    <row r="26" spans="1:2" collapsed="1" x14ac:dyDescent="0.35">
      <c r="A26" s="264"/>
    </row>
    <row r="27" spans="1:2" x14ac:dyDescent="0.35">
      <c r="A27" s="329" t="s">
        <v>630</v>
      </c>
    </row>
    <row r="28" spans="1:2" hidden="1" outlineLevel="1" x14ac:dyDescent="0.35">
      <c r="A28" s="268" t="s">
        <v>590</v>
      </c>
    </row>
    <row r="29" spans="1:2" hidden="1" outlineLevel="1" x14ac:dyDescent="0.35">
      <c r="A29" s="268"/>
      <c r="B29" s="263" t="s">
        <v>519</v>
      </c>
    </row>
    <row r="30" spans="1:2" hidden="1" outlineLevel="1" x14ac:dyDescent="0.35">
      <c r="A30" s="268" t="s">
        <v>560</v>
      </c>
    </row>
    <row r="31" spans="1:2" hidden="1" outlineLevel="1" x14ac:dyDescent="0.35">
      <c r="A31" s="268"/>
      <c r="B31" s="263" t="s">
        <v>520</v>
      </c>
    </row>
    <row r="32" spans="1:2" hidden="1" outlineLevel="1" x14ac:dyDescent="0.35">
      <c r="A32" s="268" t="s">
        <v>561</v>
      </c>
    </row>
    <row r="33" spans="1:2" hidden="1" outlineLevel="1" x14ac:dyDescent="0.35">
      <c r="A33" s="264"/>
      <c r="B33" s="263" t="s">
        <v>521</v>
      </c>
    </row>
    <row r="34" spans="1:2" hidden="1" outlineLevel="1" x14ac:dyDescent="0.35">
      <c r="A34" s="264"/>
      <c r="B34" s="263" t="s">
        <v>566</v>
      </c>
    </row>
    <row r="35" spans="1:2" hidden="1" outlineLevel="1" x14ac:dyDescent="0.35">
      <c r="A35" s="264"/>
      <c r="B35" s="263" t="s">
        <v>567</v>
      </c>
    </row>
    <row r="36" spans="1:2" collapsed="1" x14ac:dyDescent="0.35">
      <c r="A36" s="264"/>
    </row>
    <row r="37" spans="1:2" x14ac:dyDescent="0.35">
      <c r="A37" s="329" t="s">
        <v>631</v>
      </c>
    </row>
    <row r="38" spans="1:2" hidden="1" outlineLevel="1" x14ac:dyDescent="0.35">
      <c r="A38" s="268" t="s">
        <v>591</v>
      </c>
    </row>
    <row r="39" spans="1:2" hidden="1" outlineLevel="1" x14ac:dyDescent="0.35">
      <c r="A39" s="268" t="s">
        <v>592</v>
      </c>
    </row>
    <row r="40" spans="1:2" hidden="1" outlineLevel="1" x14ac:dyDescent="0.35">
      <c r="A40" s="268"/>
      <c r="B40" s="263" t="s">
        <v>522</v>
      </c>
    </row>
    <row r="41" spans="1:2" s="271" customFormat="1" hidden="1" outlineLevel="1" x14ac:dyDescent="0.35">
      <c r="A41" s="269" t="s">
        <v>523</v>
      </c>
      <c r="B41" s="270"/>
    </row>
    <row r="42" spans="1:2" s="271" customFormat="1" hidden="1" outlineLevel="1" x14ac:dyDescent="0.35">
      <c r="A42" s="269"/>
      <c r="B42" s="270" t="s">
        <v>524</v>
      </c>
    </row>
    <row r="43" spans="1:2" s="271" customFormat="1" hidden="1" outlineLevel="1" x14ac:dyDescent="0.35">
      <c r="A43" s="269" t="s">
        <v>525</v>
      </c>
      <c r="B43" s="270"/>
    </row>
    <row r="44" spans="1:2" s="271" customFormat="1" hidden="1" outlineLevel="1" x14ac:dyDescent="0.35">
      <c r="A44" s="269"/>
      <c r="B44" s="270" t="s">
        <v>526</v>
      </c>
    </row>
    <row r="45" spans="1:2" s="271" customFormat="1" hidden="1" outlineLevel="1" x14ac:dyDescent="0.35">
      <c r="A45" s="269" t="s">
        <v>527</v>
      </c>
      <c r="B45" s="270"/>
    </row>
    <row r="46" spans="1:2" s="271" customFormat="1" hidden="1" outlineLevel="1" x14ac:dyDescent="0.35">
      <c r="A46" s="269"/>
      <c r="B46" s="270" t="s">
        <v>568</v>
      </c>
    </row>
    <row r="47" spans="1:2" s="271" customFormat="1" hidden="1" outlineLevel="1" x14ac:dyDescent="0.35">
      <c r="A47" s="269"/>
      <c r="B47" s="270" t="s">
        <v>569</v>
      </c>
    </row>
    <row r="48" spans="1:2" hidden="1" outlineLevel="1" x14ac:dyDescent="0.35">
      <c r="A48" s="268" t="s">
        <v>593</v>
      </c>
    </row>
    <row r="49" spans="1:2" hidden="1" outlineLevel="1" x14ac:dyDescent="0.35">
      <c r="A49" s="268"/>
      <c r="B49" s="263" t="s">
        <v>613</v>
      </c>
    </row>
    <row r="50" spans="1:2" hidden="1" outlineLevel="1" x14ac:dyDescent="0.35">
      <c r="A50" s="269" t="s">
        <v>614</v>
      </c>
    </row>
    <row r="51" spans="1:2" hidden="1" outlineLevel="1" x14ac:dyDescent="0.35">
      <c r="A51" s="268" t="s">
        <v>594</v>
      </c>
    </row>
    <row r="52" spans="1:2" hidden="1" outlineLevel="1" x14ac:dyDescent="0.35">
      <c r="A52" s="268"/>
      <c r="B52" s="263" t="s">
        <v>575</v>
      </c>
    </row>
    <row r="53" spans="1:2" hidden="1" outlineLevel="1" x14ac:dyDescent="0.35">
      <c r="A53" s="268" t="s">
        <v>595</v>
      </c>
    </row>
    <row r="54" spans="1:2" hidden="1" outlineLevel="1" x14ac:dyDescent="0.35">
      <c r="A54" s="268"/>
      <c r="B54" s="263" t="s">
        <v>529</v>
      </c>
    </row>
    <row r="55" spans="1:2" hidden="1" outlineLevel="1" x14ac:dyDescent="0.35">
      <c r="A55" s="268" t="s">
        <v>596</v>
      </c>
    </row>
    <row r="56" spans="1:2" hidden="1" outlineLevel="1" x14ac:dyDescent="0.35">
      <c r="A56" s="268"/>
      <c r="B56" s="263" t="s">
        <v>528</v>
      </c>
    </row>
    <row r="57" spans="1:2" hidden="1" outlineLevel="1" x14ac:dyDescent="0.35">
      <c r="A57" s="269" t="s">
        <v>530</v>
      </c>
    </row>
    <row r="58" spans="1:2" hidden="1" outlineLevel="1" x14ac:dyDescent="0.35">
      <c r="A58" s="268"/>
      <c r="B58" s="270" t="s">
        <v>570</v>
      </c>
    </row>
    <row r="59" spans="1:2" hidden="1" outlineLevel="1" x14ac:dyDescent="0.35">
      <c r="A59" s="268"/>
      <c r="B59" s="270" t="s">
        <v>571</v>
      </c>
    </row>
    <row r="60" spans="1:2" hidden="1" outlineLevel="1" x14ac:dyDescent="0.35">
      <c r="A60" s="268"/>
      <c r="B60" s="270" t="s">
        <v>572</v>
      </c>
    </row>
    <row r="61" spans="1:2" hidden="1" outlineLevel="1" x14ac:dyDescent="0.35">
      <c r="A61" s="268" t="s">
        <v>597</v>
      </c>
    </row>
    <row r="62" spans="1:2" hidden="1" outlineLevel="1" x14ac:dyDescent="0.35">
      <c r="A62" s="268"/>
      <c r="B62" s="263" t="s">
        <v>573</v>
      </c>
    </row>
    <row r="63" spans="1:2" hidden="1" outlineLevel="1" x14ac:dyDescent="0.35">
      <c r="A63" s="268"/>
      <c r="B63" s="263" t="s">
        <v>574</v>
      </c>
    </row>
    <row r="64" spans="1:2" hidden="1" outlineLevel="1" x14ac:dyDescent="0.35">
      <c r="A64" s="269" t="s">
        <v>531</v>
      </c>
    </row>
    <row r="65" spans="1:2" hidden="1" outlineLevel="1" x14ac:dyDescent="0.35">
      <c r="A65" s="268"/>
      <c r="B65" s="270" t="s">
        <v>532</v>
      </c>
    </row>
    <row r="66" spans="1:2" hidden="1" outlineLevel="1" x14ac:dyDescent="0.35">
      <c r="A66" s="268" t="s">
        <v>598</v>
      </c>
    </row>
    <row r="67" spans="1:2" hidden="1" outlineLevel="1" x14ac:dyDescent="0.35">
      <c r="A67" s="268"/>
      <c r="B67" s="263" t="s">
        <v>576</v>
      </c>
    </row>
    <row r="68" spans="1:2" hidden="1" outlineLevel="1" x14ac:dyDescent="0.35">
      <c r="A68" s="268"/>
      <c r="B68" s="263" t="s">
        <v>577</v>
      </c>
    </row>
    <row r="69" spans="1:2" hidden="1" outlineLevel="1" x14ac:dyDescent="0.35">
      <c r="A69" s="269" t="s">
        <v>599</v>
      </c>
    </row>
    <row r="70" spans="1:2" hidden="1" outlineLevel="1" x14ac:dyDescent="0.35">
      <c r="A70" s="272" t="s">
        <v>600</v>
      </c>
    </row>
    <row r="71" spans="1:2" hidden="1" outlineLevel="1" x14ac:dyDescent="0.35">
      <c r="A71" s="273"/>
      <c r="B71" s="263" t="s">
        <v>578</v>
      </c>
    </row>
    <row r="72" spans="1:2" hidden="1" outlineLevel="1" x14ac:dyDescent="0.35">
      <c r="A72" s="273"/>
      <c r="B72" s="263" t="s">
        <v>579</v>
      </c>
    </row>
    <row r="73" spans="1:2" hidden="1" outlineLevel="1" x14ac:dyDescent="0.35">
      <c r="A73" s="269" t="s">
        <v>601</v>
      </c>
    </row>
    <row r="74" spans="1:2" hidden="1" outlineLevel="1" x14ac:dyDescent="0.35">
      <c r="A74" s="268" t="s">
        <v>602</v>
      </c>
    </row>
    <row r="75" spans="1:2" hidden="1" outlineLevel="1" x14ac:dyDescent="0.35">
      <c r="A75" s="268"/>
      <c r="B75" s="263" t="s">
        <v>603</v>
      </c>
    </row>
    <row r="76" spans="1:2" hidden="1" outlineLevel="1" x14ac:dyDescent="0.35">
      <c r="A76" s="269" t="s">
        <v>533</v>
      </c>
      <c r="B76" s="270"/>
    </row>
    <row r="77" spans="1:2" hidden="1" outlineLevel="1" x14ac:dyDescent="0.35">
      <c r="A77" s="268"/>
      <c r="B77" s="270" t="s">
        <v>580</v>
      </c>
    </row>
    <row r="78" spans="1:2" hidden="1" outlineLevel="1" x14ac:dyDescent="0.35">
      <c r="A78" s="268"/>
      <c r="B78" s="270" t="s">
        <v>581</v>
      </c>
    </row>
    <row r="79" spans="1:2" hidden="1" outlineLevel="1" x14ac:dyDescent="0.35">
      <c r="A79" s="268" t="s">
        <v>604</v>
      </c>
    </row>
    <row r="80" spans="1:2" hidden="1" outlineLevel="1" x14ac:dyDescent="0.35">
      <c r="A80" s="268"/>
      <c r="B80" s="263" t="s">
        <v>605</v>
      </c>
    </row>
    <row r="81" spans="1:2" hidden="1" outlineLevel="1" x14ac:dyDescent="0.35">
      <c r="A81" s="268"/>
      <c r="B81" s="263" t="s">
        <v>582</v>
      </c>
    </row>
    <row r="82" spans="1:2" hidden="1" outlineLevel="1" x14ac:dyDescent="0.35">
      <c r="A82" s="269" t="s">
        <v>534</v>
      </c>
      <c r="B82" s="270"/>
    </row>
    <row r="83" spans="1:2" hidden="1" outlineLevel="1" x14ac:dyDescent="0.35">
      <c r="A83" s="269"/>
      <c r="B83" s="270" t="s">
        <v>583</v>
      </c>
    </row>
    <row r="84" spans="1:2" hidden="1" outlineLevel="1" x14ac:dyDescent="0.35">
      <c r="A84" s="269"/>
      <c r="B84" s="270" t="s">
        <v>584</v>
      </c>
    </row>
    <row r="85" spans="1:2" hidden="1" outlineLevel="1" x14ac:dyDescent="0.35">
      <c r="A85" s="269"/>
      <c r="B85" s="270" t="s">
        <v>585</v>
      </c>
    </row>
    <row r="86" spans="1:2" hidden="1" outlineLevel="1" x14ac:dyDescent="0.35">
      <c r="A86" s="268" t="s">
        <v>606</v>
      </c>
    </row>
    <row r="87" spans="1:2" hidden="1" outlineLevel="1" x14ac:dyDescent="0.35">
      <c r="A87" s="268"/>
      <c r="B87" s="263" t="s">
        <v>535</v>
      </c>
    </row>
    <row r="88" spans="1:2" hidden="1" outlineLevel="1" x14ac:dyDescent="0.35">
      <c r="A88" s="269" t="s">
        <v>536</v>
      </c>
    </row>
    <row r="89" spans="1:2" hidden="1" outlineLevel="1" x14ac:dyDescent="0.35">
      <c r="A89" s="269"/>
      <c r="B89" s="270" t="s">
        <v>537</v>
      </c>
    </row>
    <row r="90" spans="1:2" hidden="1" outlineLevel="1" x14ac:dyDescent="0.35">
      <c r="A90" s="268" t="s">
        <v>607</v>
      </c>
    </row>
    <row r="91" spans="1:2" hidden="1" outlineLevel="1" x14ac:dyDescent="0.35">
      <c r="A91" s="268"/>
      <c r="B91" s="263" t="s">
        <v>586</v>
      </c>
    </row>
    <row r="92" spans="1:2" hidden="1" outlineLevel="1" x14ac:dyDescent="0.35">
      <c r="A92" s="268"/>
      <c r="B92" s="263" t="s">
        <v>587</v>
      </c>
    </row>
    <row r="93" spans="1:2" hidden="1" outlineLevel="1" x14ac:dyDescent="0.35">
      <c r="A93" s="269" t="s">
        <v>538</v>
      </c>
    </row>
    <row r="94" spans="1:2" hidden="1" outlineLevel="1" x14ac:dyDescent="0.35">
      <c r="A94" s="269"/>
      <c r="B94" s="270" t="s">
        <v>539</v>
      </c>
    </row>
    <row r="95" spans="1:2" hidden="1" outlineLevel="1" x14ac:dyDescent="0.35">
      <c r="A95" s="268" t="s">
        <v>608</v>
      </c>
    </row>
    <row r="96" spans="1:2" hidden="1" outlineLevel="1" x14ac:dyDescent="0.35">
      <c r="A96" s="268"/>
      <c r="B96" s="263" t="s">
        <v>588</v>
      </c>
    </row>
    <row r="97" spans="1:2" hidden="1" outlineLevel="1" x14ac:dyDescent="0.35">
      <c r="A97" s="268"/>
      <c r="B97" s="263" t="s">
        <v>609</v>
      </c>
    </row>
    <row r="98" spans="1:2" collapsed="1" x14ac:dyDescent="0.35">
      <c r="A98" s="264"/>
    </row>
    <row r="99" spans="1:2" x14ac:dyDescent="0.35">
      <c r="A99" s="329" t="s">
        <v>632</v>
      </c>
    </row>
    <row r="100" spans="1:2" hidden="1" outlineLevel="1" x14ac:dyDescent="0.35">
      <c r="A100" s="268" t="s">
        <v>610</v>
      </c>
    </row>
    <row r="101" spans="1:2" hidden="1" outlineLevel="1" x14ac:dyDescent="0.35">
      <c r="A101" s="269" t="s">
        <v>635</v>
      </c>
    </row>
    <row r="102" spans="1:2" hidden="1" outlineLevel="1" x14ac:dyDescent="0.35">
      <c r="A102" s="268" t="s">
        <v>562</v>
      </c>
    </row>
    <row r="103" spans="1:2" hidden="1" outlineLevel="1" x14ac:dyDescent="0.35">
      <c r="A103" s="269" t="s">
        <v>611</v>
      </c>
    </row>
    <row r="104" spans="1:2" hidden="1" outlineLevel="1" x14ac:dyDescent="0.35">
      <c r="A104" s="268"/>
      <c r="B104" s="270" t="s">
        <v>540</v>
      </c>
    </row>
    <row r="105" spans="1:2" collapsed="1" x14ac:dyDescent="0.35">
      <c r="A105" s="264"/>
    </row>
    <row r="106" spans="1:2" x14ac:dyDescent="0.35">
      <c r="A106" s="329" t="s">
        <v>633</v>
      </c>
    </row>
    <row r="107" spans="1:2" hidden="1" outlineLevel="1" x14ac:dyDescent="0.35">
      <c r="A107" s="268" t="s">
        <v>563</v>
      </c>
    </row>
    <row r="108" spans="1:2" hidden="1" outlineLevel="1" x14ac:dyDescent="0.35">
      <c r="A108" s="268"/>
      <c r="B108" s="263" t="s">
        <v>541</v>
      </c>
    </row>
    <row r="109" spans="1:2" collapsed="1" x14ac:dyDescent="0.35">
      <c r="A109" s="264"/>
    </row>
    <row r="110" spans="1:2" x14ac:dyDescent="0.35">
      <c r="A110" s="329" t="s">
        <v>634</v>
      </c>
    </row>
    <row r="111" spans="1:2" hidden="1" outlineLevel="1" x14ac:dyDescent="0.35">
      <c r="A111" s="268" t="s">
        <v>612</v>
      </c>
    </row>
    <row r="112" spans="1:2" hidden="1" outlineLevel="1" x14ac:dyDescent="0.35">
      <c r="A112" s="268" t="s">
        <v>564</v>
      </c>
    </row>
    <row r="113" spans="1:1" hidden="1" outlineLevel="1" x14ac:dyDescent="0.35">
      <c r="A113" s="268" t="s">
        <v>565</v>
      </c>
    </row>
    <row r="114" spans="1:1" hidden="1" outlineLevel="1" x14ac:dyDescent="0.35">
      <c r="A114" s="269" t="s">
        <v>518</v>
      </c>
    </row>
    <row r="115" spans="1:1" collapsed="1" x14ac:dyDescent="0.35">
      <c r="A115" s="264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opLeftCell="A35" zoomScaleNormal="100" zoomScaleSheetLayoutView="40" workbookViewId="0">
      <selection activeCell="A47" sqref="A47:A48"/>
    </sheetView>
  </sheetViews>
  <sheetFormatPr defaultColWidth="11.453125" defaultRowHeight="13" x14ac:dyDescent="0.3"/>
  <cols>
    <col min="1" max="1" width="48.7265625" style="1" customWidth="1"/>
    <col min="2" max="2" width="18.26953125" style="1" customWidth="1"/>
    <col min="3" max="3" width="15.81640625" style="1" customWidth="1"/>
    <col min="4" max="4" width="15.54296875" style="1" customWidth="1"/>
    <col min="5" max="5" width="16.453125" style="2" customWidth="1"/>
    <col min="6" max="6" width="16.1796875" style="1" customWidth="1"/>
    <col min="7" max="7" width="15.453125" style="1" customWidth="1"/>
    <col min="8" max="9" width="14.7265625" style="1" customWidth="1"/>
    <col min="10" max="10" width="16.453125" style="1" customWidth="1"/>
    <col min="11" max="11" width="11.7265625" style="1" customWidth="1"/>
    <col min="12" max="12" width="45.1796875" style="1" hidden="1" customWidth="1"/>
    <col min="13" max="13" width="16.81640625" style="1" customWidth="1"/>
    <col min="14" max="14" width="20.453125" style="1" customWidth="1"/>
    <col min="15" max="15" width="23.7265625" style="1" hidden="1" customWidth="1"/>
    <col min="16" max="16" width="24.26953125" style="1" hidden="1" customWidth="1"/>
    <col min="17" max="17" width="20.26953125" style="1" hidden="1" customWidth="1"/>
    <col min="18" max="18" width="19.7265625" style="1" hidden="1" customWidth="1"/>
    <col min="19" max="19" width="14.453125" style="1" customWidth="1"/>
    <col min="20" max="16384" width="11.453125" style="1"/>
  </cols>
  <sheetData>
    <row r="1" spans="1:21" s="4" customFormat="1" ht="15.5" x14ac:dyDescent="0.3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"/>
      <c r="U1" s="3"/>
    </row>
    <row r="2" spans="1:21" s="4" customFormat="1" ht="15.5" x14ac:dyDescent="0.35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"/>
      <c r="U2" s="3"/>
    </row>
    <row r="3" spans="1:21" s="4" customFormat="1" ht="15.5" x14ac:dyDescent="0.35">
      <c r="A3" s="334" t="s">
        <v>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"/>
      <c r="U3" s="3"/>
    </row>
    <row r="4" spans="1:21" s="4" customFormat="1" ht="12.75" customHeight="1" x14ac:dyDescent="0.3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3"/>
      <c r="U4" s="3"/>
    </row>
    <row r="5" spans="1:21" x14ac:dyDescent="0.3">
      <c r="J5" s="112"/>
      <c r="P5" s="2"/>
    </row>
    <row r="6" spans="1:21" ht="12.75" customHeight="1" x14ac:dyDescent="0.3">
      <c r="A6" s="333" t="s">
        <v>662</v>
      </c>
      <c r="B6" s="333"/>
      <c r="C6" s="6"/>
      <c r="D6" s="6"/>
      <c r="E6" s="7"/>
      <c r="F6" s="6"/>
      <c r="H6" s="6"/>
      <c r="I6" s="6"/>
      <c r="K6" s="8"/>
      <c r="L6" s="333"/>
      <c r="M6" s="333"/>
      <c r="N6" s="233" t="s">
        <v>663</v>
      </c>
      <c r="P6" s="2"/>
      <c r="S6" s="368"/>
      <c r="T6" s="6"/>
    </row>
    <row r="8" spans="1:21" x14ac:dyDescent="0.3">
      <c r="A8" s="320"/>
      <c r="B8" s="320"/>
      <c r="C8" s="320"/>
      <c r="D8" s="320"/>
      <c r="E8" s="321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</row>
    <row r="9" spans="1:21" x14ac:dyDescent="0.3">
      <c r="A9" s="322"/>
      <c r="B9" s="322"/>
      <c r="C9" s="322"/>
      <c r="D9" s="322"/>
      <c r="E9" s="323"/>
      <c r="F9" s="322"/>
      <c r="G9" s="322"/>
      <c r="H9" s="322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</row>
    <row r="11" spans="1:21" s="12" customFormat="1" ht="52.5" thickBot="1" x14ac:dyDescent="0.3">
      <c r="A11" s="9" t="s">
        <v>3</v>
      </c>
      <c r="B11" s="10" t="s">
        <v>4</v>
      </c>
      <c r="C11" s="10" t="s">
        <v>5</v>
      </c>
      <c r="D11" s="10" t="s">
        <v>6</v>
      </c>
      <c r="E11" s="11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9" t="s">
        <v>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</row>
    <row r="12" spans="1:21" ht="13.5" thickBot="1" x14ac:dyDescent="0.35">
      <c r="A12" s="13" t="s">
        <v>21</v>
      </c>
      <c r="B12" s="13" t="s">
        <v>22</v>
      </c>
      <c r="C12" s="13" t="s">
        <v>23</v>
      </c>
      <c r="D12" s="13" t="s">
        <v>24</v>
      </c>
      <c r="E12" s="14" t="s">
        <v>25</v>
      </c>
      <c r="F12" s="13" t="s">
        <v>26</v>
      </c>
      <c r="G12" s="13" t="s">
        <v>27</v>
      </c>
      <c r="H12" s="13" t="s">
        <v>28</v>
      </c>
      <c r="I12" s="13" t="s">
        <v>29</v>
      </c>
      <c r="J12" s="13" t="s">
        <v>30</v>
      </c>
      <c r="K12" s="15" t="s">
        <v>31</v>
      </c>
      <c r="L12" s="13"/>
      <c r="M12" s="13" t="s">
        <v>32</v>
      </c>
      <c r="N12" s="13" t="s">
        <v>33</v>
      </c>
      <c r="O12" s="13" t="s">
        <v>34</v>
      </c>
      <c r="P12" s="13" t="s">
        <v>35</v>
      </c>
      <c r="Q12" s="13" t="s">
        <v>36</v>
      </c>
      <c r="R12" s="13" t="s">
        <v>37</v>
      </c>
      <c r="S12" s="16" t="s">
        <v>34</v>
      </c>
    </row>
    <row r="13" spans="1:21" ht="13.5" thickBot="1" x14ac:dyDescent="0.35">
      <c r="A13" s="17" t="s">
        <v>38</v>
      </c>
      <c r="B13" s="18"/>
      <c r="C13" s="19"/>
      <c r="D13" s="19"/>
      <c r="E13" s="20"/>
      <c r="F13" s="19"/>
      <c r="G13" s="19"/>
      <c r="H13" s="19"/>
      <c r="I13" s="21"/>
      <c r="J13" s="19"/>
      <c r="K13" s="21"/>
      <c r="L13" s="17" t="s">
        <v>38</v>
      </c>
      <c r="M13" s="21"/>
      <c r="N13" s="21"/>
      <c r="O13" s="22"/>
      <c r="P13" s="19"/>
      <c r="Q13" s="19"/>
      <c r="R13" s="22"/>
      <c r="S13" s="22"/>
    </row>
    <row r="14" spans="1:21" ht="13.5" thickBot="1" x14ac:dyDescent="0.35">
      <c r="A14" s="23" t="s">
        <v>39</v>
      </c>
      <c r="B14" s="113">
        <v>455040110.35000002</v>
      </c>
      <c r="C14" s="352">
        <v>66</v>
      </c>
      <c r="D14" s="352">
        <v>59</v>
      </c>
      <c r="E14" s="113">
        <v>339169875.35000002</v>
      </c>
      <c r="F14" s="352">
        <v>7</v>
      </c>
      <c r="G14" s="352">
        <v>134</v>
      </c>
      <c r="H14" s="352">
        <v>132</v>
      </c>
      <c r="I14" s="357">
        <v>100</v>
      </c>
      <c r="J14" s="357">
        <v>66</v>
      </c>
      <c r="K14" s="357">
        <v>59</v>
      </c>
      <c r="L14" s="358"/>
      <c r="M14" s="359">
        <v>0</v>
      </c>
      <c r="N14" s="359">
        <v>0</v>
      </c>
      <c r="O14" s="359"/>
      <c r="P14" s="359"/>
      <c r="Q14" s="359"/>
      <c r="R14" s="359"/>
      <c r="S14" s="359">
        <v>59</v>
      </c>
    </row>
    <row r="15" spans="1:21" ht="13.5" thickBot="1" x14ac:dyDescent="0.35">
      <c r="A15" s="23" t="s">
        <v>40</v>
      </c>
      <c r="B15" s="113">
        <v>159704135.59999999</v>
      </c>
      <c r="C15" s="352">
        <v>30</v>
      </c>
      <c r="D15" s="352">
        <v>29</v>
      </c>
      <c r="E15" s="113">
        <v>136726811.44</v>
      </c>
      <c r="F15" s="352">
        <v>1</v>
      </c>
      <c r="G15" s="360">
        <v>160</v>
      </c>
      <c r="H15" s="360">
        <v>156</v>
      </c>
      <c r="I15" s="360">
        <v>112</v>
      </c>
      <c r="J15" s="357">
        <v>30</v>
      </c>
      <c r="K15" s="357">
        <v>29</v>
      </c>
      <c r="L15" s="358" t="s">
        <v>40</v>
      </c>
      <c r="M15" s="361">
        <v>4</v>
      </c>
      <c r="N15" s="361">
        <v>7</v>
      </c>
      <c r="O15" s="361"/>
      <c r="P15" s="361"/>
      <c r="Q15" s="361"/>
      <c r="R15" s="361"/>
      <c r="S15" s="361">
        <v>29</v>
      </c>
    </row>
    <row r="16" spans="1:21" ht="13.5" thickBot="1" x14ac:dyDescent="0.35">
      <c r="A16" s="26" t="s">
        <v>41</v>
      </c>
      <c r="B16" s="24">
        <v>0</v>
      </c>
      <c r="C16" s="353">
        <v>0</v>
      </c>
      <c r="D16" s="353">
        <v>0</v>
      </c>
      <c r="E16" s="24">
        <v>0</v>
      </c>
      <c r="F16" s="353">
        <v>0</v>
      </c>
      <c r="G16" s="353">
        <v>0</v>
      </c>
      <c r="H16" s="353">
        <v>0</v>
      </c>
      <c r="I16" s="362">
        <v>0</v>
      </c>
      <c r="J16" s="362">
        <v>0</v>
      </c>
      <c r="K16" s="362">
        <v>0</v>
      </c>
      <c r="L16" s="363" t="s">
        <v>41</v>
      </c>
      <c r="M16" s="361">
        <v>0</v>
      </c>
      <c r="N16" s="361">
        <v>0</v>
      </c>
      <c r="O16" s="361"/>
      <c r="P16" s="361"/>
      <c r="Q16" s="361"/>
      <c r="R16" s="361"/>
      <c r="S16" s="361">
        <v>0</v>
      </c>
    </row>
    <row r="17" spans="1:19" ht="13.5" thickBot="1" x14ac:dyDescent="0.35">
      <c r="A17" s="27" t="s">
        <v>42</v>
      </c>
      <c r="B17" s="28">
        <f t="shared" ref="B17:K17" si="0">SUM(B14:B16)</f>
        <v>614744245.95000005</v>
      </c>
      <c r="C17" s="29">
        <f t="shared" si="0"/>
        <v>96</v>
      </c>
      <c r="D17" s="29">
        <f t="shared" si="0"/>
        <v>88</v>
      </c>
      <c r="E17" s="28">
        <f t="shared" si="0"/>
        <v>475896686.79000002</v>
      </c>
      <c r="F17" s="29">
        <f>SUM(F14:F16)</f>
        <v>8</v>
      </c>
      <c r="G17" s="29">
        <f>SUM(G14:G16)</f>
        <v>294</v>
      </c>
      <c r="H17" s="29">
        <f>SUM(H14:H16)</f>
        <v>288</v>
      </c>
      <c r="I17" s="29">
        <f t="shared" si="0"/>
        <v>212</v>
      </c>
      <c r="J17" s="29">
        <f t="shared" si="0"/>
        <v>96</v>
      </c>
      <c r="K17" s="30">
        <f t="shared" si="0"/>
        <v>88</v>
      </c>
      <c r="L17" s="27" t="s">
        <v>42</v>
      </c>
      <c r="M17" s="29">
        <f>SUM(M14:M16)</f>
        <v>4</v>
      </c>
      <c r="N17" s="29">
        <f>SUM(N14:N16)</f>
        <v>7</v>
      </c>
      <c r="O17" s="31" t="s">
        <v>43</v>
      </c>
      <c r="P17" s="29">
        <f>SUM(P14:P16)</f>
        <v>0</v>
      </c>
      <c r="Q17" s="29">
        <f>SUM(Q14:Q16)</f>
        <v>0</v>
      </c>
      <c r="R17" s="32" t="e">
        <f>AVERAGE(R14:R16)</f>
        <v>#DIV/0!</v>
      </c>
      <c r="S17" s="30">
        <f>SUM(S14:S16)</f>
        <v>88</v>
      </c>
    </row>
    <row r="18" spans="1:19" ht="13.5" thickBot="1" x14ac:dyDescent="0.35">
      <c r="A18" s="33" t="s">
        <v>44</v>
      </c>
      <c r="B18" s="34"/>
      <c r="C18" s="35"/>
      <c r="D18" s="35"/>
      <c r="E18" s="36"/>
      <c r="F18" s="35"/>
      <c r="G18" s="35"/>
      <c r="H18" s="35"/>
      <c r="I18" s="37"/>
      <c r="J18" s="35"/>
      <c r="K18" s="37"/>
      <c r="L18" s="33" t="s">
        <v>44</v>
      </c>
      <c r="M18" s="38"/>
      <c r="N18" s="38"/>
      <c r="O18" s="39"/>
      <c r="P18" s="35"/>
      <c r="Q18" s="35"/>
      <c r="R18" s="39"/>
      <c r="S18" s="39"/>
    </row>
    <row r="19" spans="1:19" ht="13.5" thickBot="1" x14ac:dyDescent="0.35">
      <c r="A19" s="23" t="s">
        <v>505</v>
      </c>
      <c r="B19" s="113">
        <v>18000</v>
      </c>
      <c r="C19" s="352">
        <v>2</v>
      </c>
      <c r="D19" s="352">
        <v>2</v>
      </c>
      <c r="E19" s="113">
        <v>18000</v>
      </c>
      <c r="F19" s="40"/>
      <c r="G19" s="40"/>
      <c r="H19" s="40"/>
      <c r="I19" s="41"/>
      <c r="J19" s="44"/>
      <c r="K19" s="115">
        <v>0</v>
      </c>
      <c r="L19" s="23" t="s">
        <v>505</v>
      </c>
      <c r="M19" s="42"/>
      <c r="N19" s="42"/>
      <c r="O19" s="42"/>
      <c r="P19" s="43"/>
      <c r="Q19" s="43"/>
      <c r="R19" s="42"/>
      <c r="S19" s="42"/>
    </row>
    <row r="20" spans="1:19" ht="13.5" thickBot="1" x14ac:dyDescent="0.35">
      <c r="A20" s="23" t="s">
        <v>506</v>
      </c>
      <c r="B20" s="113">
        <v>83900366.739999995</v>
      </c>
      <c r="C20" s="352">
        <v>324</v>
      </c>
      <c r="D20" s="352">
        <v>269</v>
      </c>
      <c r="E20" s="113">
        <v>71032400.609999999</v>
      </c>
      <c r="F20" s="40"/>
      <c r="G20" s="40"/>
      <c r="H20" s="40"/>
      <c r="I20" s="41"/>
      <c r="J20" s="352">
        <v>324</v>
      </c>
      <c r="K20" s="352">
        <v>269</v>
      </c>
      <c r="L20" s="23" t="s">
        <v>506</v>
      </c>
      <c r="M20" s="42"/>
      <c r="N20" s="42"/>
      <c r="O20" s="45"/>
      <c r="P20" s="43"/>
      <c r="Q20" s="43"/>
      <c r="R20" s="45"/>
      <c r="S20" s="45"/>
    </row>
    <row r="21" spans="1:19" ht="13.5" thickBot="1" x14ac:dyDescent="0.35">
      <c r="A21" s="23" t="s">
        <v>507</v>
      </c>
      <c r="B21" s="113">
        <v>4004517.19</v>
      </c>
      <c r="C21" s="352">
        <v>155</v>
      </c>
      <c r="D21" s="352">
        <v>148</v>
      </c>
      <c r="E21" s="113">
        <v>3526295.76</v>
      </c>
      <c r="F21" s="40"/>
      <c r="G21" s="40"/>
      <c r="H21" s="40"/>
      <c r="I21" s="41"/>
      <c r="J21" s="44"/>
      <c r="K21" s="230"/>
      <c r="L21" s="23" t="s">
        <v>507</v>
      </c>
      <c r="M21" s="42"/>
      <c r="N21" s="42"/>
      <c r="O21" s="45"/>
      <c r="P21" s="43"/>
      <c r="Q21" s="43"/>
      <c r="R21" s="45"/>
      <c r="S21" s="45"/>
    </row>
    <row r="22" spans="1:19" ht="13.5" thickBot="1" x14ac:dyDescent="0.35">
      <c r="A22" s="23" t="s">
        <v>492</v>
      </c>
      <c r="B22" s="113">
        <v>15957328.470000001</v>
      </c>
      <c r="C22" s="352">
        <v>39</v>
      </c>
      <c r="D22" s="352">
        <v>31</v>
      </c>
      <c r="E22" s="113">
        <v>13170662</v>
      </c>
      <c r="F22" s="40"/>
      <c r="G22" s="40"/>
      <c r="H22" s="40"/>
      <c r="I22" s="41"/>
      <c r="J22" s="44"/>
      <c r="K22" s="115">
        <v>31</v>
      </c>
      <c r="L22" s="23" t="s">
        <v>492</v>
      </c>
      <c r="M22" s="42"/>
      <c r="N22" s="42"/>
      <c r="O22" s="45"/>
      <c r="P22" s="43"/>
      <c r="Q22" s="43"/>
      <c r="R22" s="45"/>
      <c r="S22" s="45"/>
    </row>
    <row r="23" spans="1:19" ht="13.5" thickBot="1" x14ac:dyDescent="0.35">
      <c r="A23" s="23" t="s">
        <v>494</v>
      </c>
      <c r="B23" s="113">
        <v>1518532.08</v>
      </c>
      <c r="C23" s="352">
        <v>43</v>
      </c>
      <c r="D23" s="352">
        <v>37</v>
      </c>
      <c r="E23" s="113">
        <v>1370906</v>
      </c>
      <c r="F23" s="40"/>
      <c r="G23" s="40"/>
      <c r="H23" s="40"/>
      <c r="I23" s="41"/>
      <c r="J23" s="44"/>
      <c r="K23" s="230"/>
      <c r="L23" s="23" t="s">
        <v>494</v>
      </c>
      <c r="M23" s="42"/>
      <c r="N23" s="42"/>
      <c r="O23" s="45"/>
      <c r="P23" s="43"/>
      <c r="Q23" s="43"/>
      <c r="R23" s="45"/>
      <c r="S23" s="45"/>
    </row>
    <row r="24" spans="1:19" ht="13.5" thickBot="1" x14ac:dyDescent="0.35">
      <c r="A24" s="23" t="s">
        <v>493</v>
      </c>
      <c r="B24" s="113">
        <v>347152</v>
      </c>
      <c r="C24" s="352">
        <v>1</v>
      </c>
      <c r="D24" s="352">
        <v>1</v>
      </c>
      <c r="E24" s="113">
        <v>347152</v>
      </c>
      <c r="F24" s="46"/>
      <c r="G24" s="46"/>
      <c r="H24" s="46"/>
      <c r="I24" s="47"/>
      <c r="J24" s="44"/>
      <c r="K24" s="115">
        <v>1</v>
      </c>
      <c r="L24" s="23" t="s">
        <v>493</v>
      </c>
      <c r="M24" s="21"/>
      <c r="N24" s="21"/>
      <c r="O24" s="22"/>
      <c r="P24" s="46"/>
      <c r="Q24" s="46"/>
      <c r="R24" s="22"/>
      <c r="S24" s="22"/>
    </row>
    <row r="25" spans="1:19" ht="13.5" thickBot="1" x14ac:dyDescent="0.35">
      <c r="A25" s="23" t="s">
        <v>495</v>
      </c>
      <c r="B25" s="113">
        <v>0</v>
      </c>
      <c r="C25" s="352">
        <v>0</v>
      </c>
      <c r="D25" s="352">
        <v>0</v>
      </c>
      <c r="E25" s="113">
        <v>0</v>
      </c>
      <c r="F25" s="46"/>
      <c r="G25" s="46"/>
      <c r="H25" s="46"/>
      <c r="I25" s="47"/>
      <c r="J25" s="229"/>
      <c r="K25" s="230"/>
      <c r="L25" s="23" t="s">
        <v>495</v>
      </c>
      <c r="M25" s="21"/>
      <c r="N25" s="21"/>
      <c r="O25" s="22"/>
      <c r="P25" s="46"/>
      <c r="Q25" s="46"/>
      <c r="R25" s="22"/>
      <c r="S25" s="22"/>
    </row>
    <row r="26" spans="1:19" ht="13.5" thickBot="1" x14ac:dyDescent="0.35">
      <c r="A26" s="23" t="s">
        <v>45</v>
      </c>
      <c r="B26" s="113">
        <v>0</v>
      </c>
      <c r="C26" s="352">
        <v>0</v>
      </c>
      <c r="D26" s="352">
        <v>0</v>
      </c>
      <c r="E26" s="113">
        <v>0</v>
      </c>
      <c r="F26" s="46"/>
      <c r="G26" s="46"/>
      <c r="H26" s="46"/>
      <c r="I26" s="47"/>
      <c r="J26" s="114">
        <v>0</v>
      </c>
      <c r="K26" s="115">
        <v>0</v>
      </c>
      <c r="L26" s="23" t="s">
        <v>45</v>
      </c>
      <c r="M26" s="21"/>
      <c r="N26" s="21"/>
      <c r="O26" s="22"/>
      <c r="P26" s="46"/>
      <c r="Q26" s="46"/>
      <c r="R26" s="22"/>
      <c r="S26" s="22"/>
    </row>
    <row r="27" spans="1:19" ht="13.5" thickBot="1" x14ac:dyDescent="0.35">
      <c r="A27" s="23" t="s">
        <v>46</v>
      </c>
      <c r="B27" s="113">
        <v>21202100.73</v>
      </c>
      <c r="C27" s="352">
        <v>40</v>
      </c>
      <c r="D27" s="352">
        <v>20</v>
      </c>
      <c r="E27" s="113">
        <v>12640696.199999999</v>
      </c>
      <c r="F27" s="46"/>
      <c r="G27" s="46"/>
      <c r="H27" s="46"/>
      <c r="I27" s="47"/>
      <c r="J27" s="44"/>
      <c r="K27" s="44"/>
      <c r="L27" s="23" t="s">
        <v>46</v>
      </c>
      <c r="M27" s="21"/>
      <c r="N27" s="21"/>
      <c r="O27" s="22"/>
      <c r="P27" s="46"/>
      <c r="Q27" s="46"/>
      <c r="R27" s="22"/>
      <c r="S27" s="22"/>
    </row>
    <row r="28" spans="1:19" ht="13.5" thickBot="1" x14ac:dyDescent="0.35">
      <c r="A28" s="23" t="s">
        <v>489</v>
      </c>
      <c r="B28" s="113">
        <v>0</v>
      </c>
      <c r="C28" s="352">
        <v>0</v>
      </c>
      <c r="D28" s="352">
        <v>0</v>
      </c>
      <c r="E28" s="113">
        <v>0</v>
      </c>
      <c r="F28" s="46"/>
      <c r="G28" s="46"/>
      <c r="H28" s="46"/>
      <c r="I28" s="47"/>
      <c r="J28" s="229"/>
      <c r="K28" s="44"/>
      <c r="L28" s="23" t="s">
        <v>489</v>
      </c>
      <c r="M28" s="21"/>
      <c r="N28" s="21"/>
      <c r="O28" s="22"/>
      <c r="P28" s="46"/>
      <c r="Q28" s="46"/>
      <c r="R28" s="22"/>
      <c r="S28" s="22"/>
    </row>
    <row r="29" spans="1:19" ht="13.5" thickBot="1" x14ac:dyDescent="0.35">
      <c r="A29" s="23" t="s">
        <v>490</v>
      </c>
      <c r="B29" s="113">
        <v>11533200</v>
      </c>
      <c r="C29" s="352">
        <v>3</v>
      </c>
      <c r="D29" s="352">
        <v>3</v>
      </c>
      <c r="E29" s="113">
        <v>11435927.32</v>
      </c>
      <c r="F29" s="46"/>
      <c r="G29" s="46"/>
      <c r="H29" s="46"/>
      <c r="I29" s="47"/>
      <c r="J29" s="353">
        <v>3</v>
      </c>
      <c r="K29" s="357">
        <v>3</v>
      </c>
      <c r="L29" s="23" t="s">
        <v>490</v>
      </c>
      <c r="M29" s="21"/>
      <c r="N29" s="21"/>
      <c r="O29" s="22"/>
      <c r="P29" s="46"/>
      <c r="Q29" s="46"/>
      <c r="R29" s="22"/>
      <c r="S29" s="22"/>
    </row>
    <row r="30" spans="1:19" ht="13.5" thickBot="1" x14ac:dyDescent="0.35">
      <c r="A30" s="23" t="s">
        <v>491</v>
      </c>
      <c r="B30" s="113">
        <v>51693815.840000004</v>
      </c>
      <c r="C30" s="352">
        <v>275</v>
      </c>
      <c r="D30" s="352">
        <v>241</v>
      </c>
      <c r="E30" s="113">
        <v>42887136.262000002</v>
      </c>
      <c r="F30" s="46"/>
      <c r="G30" s="46"/>
      <c r="H30" s="46"/>
      <c r="I30" s="47"/>
      <c r="J30" s="352">
        <v>275</v>
      </c>
      <c r="K30" s="352">
        <v>241</v>
      </c>
      <c r="L30" s="23" t="s">
        <v>491</v>
      </c>
      <c r="M30" s="21"/>
      <c r="N30" s="21"/>
      <c r="O30" s="22"/>
      <c r="P30" s="46"/>
      <c r="Q30" s="46"/>
      <c r="R30" s="22"/>
      <c r="S30" s="22"/>
    </row>
    <row r="31" spans="1:19" ht="13.5" thickBot="1" x14ac:dyDescent="0.35">
      <c r="A31" s="23" t="s">
        <v>496</v>
      </c>
      <c r="B31" s="113">
        <v>87477797</v>
      </c>
      <c r="C31" s="352">
        <v>276</v>
      </c>
      <c r="D31" s="352">
        <v>248</v>
      </c>
      <c r="E31" s="113">
        <v>76077952.019999996</v>
      </c>
      <c r="F31" s="40"/>
      <c r="G31" s="40"/>
      <c r="H31" s="40"/>
      <c r="I31" s="41"/>
      <c r="J31" s="44"/>
      <c r="K31" s="357">
        <v>248</v>
      </c>
      <c r="L31" s="23" t="s">
        <v>496</v>
      </c>
      <c r="M31" s="42"/>
      <c r="N31" s="42"/>
      <c r="O31" s="45"/>
      <c r="P31" s="43"/>
      <c r="Q31" s="43"/>
      <c r="R31" s="45"/>
      <c r="S31" s="45"/>
    </row>
    <row r="32" spans="1:19" ht="13.5" thickBot="1" x14ac:dyDescent="0.35">
      <c r="A32" s="23" t="s">
        <v>497</v>
      </c>
      <c r="B32" s="113">
        <v>3500196.11</v>
      </c>
      <c r="C32" s="352">
        <v>149</v>
      </c>
      <c r="D32" s="352">
        <v>128</v>
      </c>
      <c r="E32" s="113">
        <v>2877533</v>
      </c>
      <c r="F32" s="40"/>
      <c r="G32" s="40"/>
      <c r="H32" s="40"/>
      <c r="I32" s="40"/>
      <c r="J32" s="229"/>
      <c r="K32" s="230"/>
      <c r="L32" s="23" t="s">
        <v>497</v>
      </c>
      <c r="M32" s="42"/>
      <c r="N32" s="42"/>
      <c r="O32" s="45"/>
      <c r="P32" s="43"/>
      <c r="Q32" s="43"/>
      <c r="R32" s="45"/>
      <c r="S32" s="45"/>
    </row>
    <row r="33" spans="1:20" ht="13.5" thickBot="1" x14ac:dyDescent="0.35">
      <c r="A33" s="48" t="s">
        <v>42</v>
      </c>
      <c r="B33" s="28">
        <f>SUM(B19:B32)</f>
        <v>281153006.15999997</v>
      </c>
      <c r="C33" s="29">
        <f>SUM(C19:C32)</f>
        <v>1307</v>
      </c>
      <c r="D33" s="29">
        <f>SUM(D19:D32)</f>
        <v>1128</v>
      </c>
      <c r="E33" s="28">
        <f>SUM(E19:E32)</f>
        <v>235384661.17199999</v>
      </c>
      <c r="F33" s="40"/>
      <c r="G33" s="40"/>
      <c r="H33" s="40"/>
      <c r="I33" s="40"/>
      <c r="J33" s="29">
        <f>SUM(J20:J31)</f>
        <v>602</v>
      </c>
      <c r="K33" s="30">
        <f>SUM(K19:K32)</f>
        <v>793</v>
      </c>
      <c r="L33" s="48" t="s">
        <v>42</v>
      </c>
      <c r="M33" s="42"/>
      <c r="N33" s="42"/>
      <c r="O33" s="42"/>
      <c r="P33" s="42"/>
      <c r="Q33" s="42"/>
      <c r="R33" s="42"/>
      <c r="S33" s="42"/>
    </row>
    <row r="34" spans="1:20" ht="13.5" thickBot="1" x14ac:dyDescent="0.35">
      <c r="A34" s="17" t="s">
        <v>47</v>
      </c>
      <c r="B34" s="34"/>
      <c r="C34" s="49"/>
      <c r="D34" s="49"/>
      <c r="E34" s="34"/>
      <c r="F34" s="46"/>
      <c r="G34" s="46"/>
      <c r="H34" s="46"/>
      <c r="I34" s="46"/>
      <c r="J34" s="46"/>
      <c r="K34" s="47"/>
      <c r="L34" s="17" t="s">
        <v>47</v>
      </c>
      <c r="M34" s="21"/>
      <c r="N34" s="21"/>
      <c r="O34" s="22"/>
      <c r="P34" s="46"/>
      <c r="Q34" s="46"/>
      <c r="R34" s="22"/>
      <c r="S34" s="22"/>
    </row>
    <row r="35" spans="1:20" ht="13.5" thickBot="1" x14ac:dyDescent="0.35">
      <c r="A35" s="23" t="s">
        <v>48</v>
      </c>
      <c r="B35" s="24">
        <v>0</v>
      </c>
      <c r="C35" s="353">
        <v>0</v>
      </c>
      <c r="D35" s="353">
        <v>0</v>
      </c>
      <c r="E35" s="24">
        <v>0</v>
      </c>
      <c r="F35" s="46"/>
      <c r="G35" s="50">
        <v>0</v>
      </c>
      <c r="H35" s="50">
        <v>0</v>
      </c>
      <c r="I35" s="50">
        <v>0</v>
      </c>
      <c r="J35" s="46"/>
      <c r="K35" s="47"/>
      <c r="L35" s="23" t="s">
        <v>48</v>
      </c>
      <c r="M35" s="21"/>
      <c r="N35" s="21"/>
      <c r="O35" s="22"/>
      <c r="P35" s="46"/>
      <c r="Q35" s="46"/>
      <c r="R35" s="22"/>
      <c r="S35" s="22"/>
    </row>
    <row r="36" spans="1:20" ht="13.5" thickBot="1" x14ac:dyDescent="0.35">
      <c r="A36" s="23" t="s">
        <v>49</v>
      </c>
      <c r="B36" s="24">
        <v>36213108</v>
      </c>
      <c r="C36" s="353">
        <v>43</v>
      </c>
      <c r="D36" s="353">
        <v>43</v>
      </c>
      <c r="E36" s="24">
        <v>36213108</v>
      </c>
      <c r="F36" s="46"/>
      <c r="G36" s="50">
        <v>0</v>
      </c>
      <c r="H36" s="50">
        <v>0</v>
      </c>
      <c r="I36" s="50">
        <v>0</v>
      </c>
      <c r="J36" s="46"/>
      <c r="K36" s="47"/>
      <c r="L36" s="23" t="s">
        <v>49</v>
      </c>
      <c r="M36" s="21"/>
      <c r="N36" s="21"/>
      <c r="O36" s="22"/>
      <c r="P36" s="46"/>
      <c r="Q36" s="46"/>
      <c r="R36" s="22"/>
      <c r="S36" s="22"/>
    </row>
    <row r="37" spans="1:20" ht="13.5" thickBot="1" x14ac:dyDescent="0.35">
      <c r="A37" s="48" t="s">
        <v>42</v>
      </c>
      <c r="B37" s="28">
        <f>SUM(B35:B36)</f>
        <v>36213108</v>
      </c>
      <c r="C37" s="29">
        <f>SUM(C35:C36)</f>
        <v>43</v>
      </c>
      <c r="D37" s="29">
        <f>SUM(D35:D36)</f>
        <v>43</v>
      </c>
      <c r="E37" s="28">
        <f>SUM(E35:E36)</f>
        <v>36213108</v>
      </c>
      <c r="F37" s="46"/>
      <c r="G37" s="46"/>
      <c r="H37" s="46"/>
      <c r="I37" s="46"/>
      <c r="J37" s="46"/>
      <c r="K37" s="47"/>
      <c r="L37" s="48" t="s">
        <v>42</v>
      </c>
      <c r="M37" s="21"/>
      <c r="N37" s="21"/>
      <c r="O37" s="22"/>
      <c r="P37" s="46"/>
      <c r="Q37" s="46"/>
      <c r="R37" s="22"/>
      <c r="S37" s="22"/>
    </row>
    <row r="38" spans="1:20" ht="13.5" thickBot="1" x14ac:dyDescent="0.35">
      <c r="A38" s="17" t="s">
        <v>50</v>
      </c>
      <c r="B38" s="24"/>
      <c r="C38" s="25"/>
      <c r="D38" s="25"/>
      <c r="E38" s="24"/>
      <c r="F38" s="19"/>
      <c r="G38" s="19"/>
      <c r="H38" s="19"/>
      <c r="I38" s="19"/>
      <c r="J38" s="19"/>
      <c r="K38" s="21"/>
      <c r="L38" s="17" t="s">
        <v>50</v>
      </c>
      <c r="M38" s="21"/>
      <c r="N38" s="21"/>
      <c r="O38" s="22"/>
      <c r="P38" s="46"/>
      <c r="Q38" s="46"/>
      <c r="R38" s="22"/>
      <c r="S38" s="22"/>
    </row>
    <row r="39" spans="1:20" ht="13.5" thickBot="1" x14ac:dyDescent="0.35">
      <c r="A39" s="51" t="s">
        <v>51</v>
      </c>
      <c r="B39" s="52">
        <f>B17+B33+B37+B38</f>
        <v>932110360.11000001</v>
      </c>
      <c r="C39" s="29">
        <f>C17+C33+C37+C38</f>
        <v>1446</v>
      </c>
      <c r="D39" s="29">
        <f>D17+D33+D37+D38</f>
        <v>1259</v>
      </c>
      <c r="E39" s="52">
        <f>E17+E33+E37+E38</f>
        <v>747494455.96200001</v>
      </c>
      <c r="F39" s="19"/>
      <c r="G39" s="19"/>
      <c r="H39" s="19"/>
      <c r="I39" s="19"/>
      <c r="J39" s="53"/>
      <c r="K39" s="54"/>
      <c r="L39" s="51" t="s">
        <v>51</v>
      </c>
      <c r="M39" s="54"/>
      <c r="N39" s="54"/>
      <c r="O39" s="55"/>
      <c r="P39" s="56"/>
      <c r="Q39" s="56"/>
      <c r="R39" s="55"/>
      <c r="S39" s="55"/>
    </row>
    <row r="40" spans="1:20" s="4" customFormat="1" x14ac:dyDescent="0.3">
      <c r="A40" s="57"/>
      <c r="B40" s="57"/>
      <c r="C40" s="57"/>
      <c r="D40" s="57"/>
      <c r="E40" s="58"/>
      <c r="F40" s="57"/>
      <c r="G40" s="57"/>
      <c r="H40" s="57"/>
      <c r="I40" s="57"/>
      <c r="J40" s="57"/>
      <c r="K40" s="57"/>
      <c r="L40" s="57"/>
      <c r="M40" s="57"/>
      <c r="N40" s="57"/>
    </row>
    <row r="41" spans="1:20" s="4" customFormat="1" ht="14.5" x14ac:dyDescent="0.35">
      <c r="A41" s="59" t="s">
        <v>52</v>
      </c>
      <c r="B41" s="59"/>
      <c r="C41" s="60"/>
      <c r="D41" s="60"/>
      <c r="E41" s="61"/>
      <c r="F41" s="59"/>
      <c r="G41" s="59"/>
      <c r="H41" s="59"/>
      <c r="I41" s="60"/>
      <c r="J41" s="60"/>
      <c r="K41" s="60"/>
      <c r="L41" s="59" t="s">
        <v>52</v>
      </c>
      <c r="M41" s="60"/>
      <c r="N41" s="60"/>
    </row>
    <row r="42" spans="1:20" s="4" customFormat="1" ht="15.5" x14ac:dyDescent="0.35">
      <c r="A42" s="59" t="s">
        <v>53</v>
      </c>
      <c r="B42" s="60"/>
      <c r="C42" s="60"/>
      <c r="D42" s="60"/>
      <c r="E42" s="62"/>
      <c r="F42" s="60"/>
      <c r="G42" s="60"/>
      <c r="H42" s="60"/>
      <c r="I42" s="60"/>
      <c r="J42" s="60"/>
      <c r="K42" s="63"/>
      <c r="L42" s="59" t="s">
        <v>53</v>
      </c>
      <c r="M42" s="60"/>
      <c r="N42" s="60"/>
      <c r="O42" s="60"/>
      <c r="P42" s="60"/>
      <c r="Q42" s="60"/>
      <c r="R42" s="60"/>
      <c r="S42" s="60"/>
      <c r="T42" s="63"/>
    </row>
    <row r="43" spans="1:20" ht="14.5" x14ac:dyDescent="0.35">
      <c r="A43" s="324"/>
      <c r="B43" s="66"/>
      <c r="C43" s="324"/>
      <c r="D43" s="66"/>
      <c r="E43" s="325"/>
      <c r="F43" s="324"/>
      <c r="G43" s="324"/>
      <c r="H43" s="324"/>
      <c r="I43" s="324"/>
      <c r="J43" s="324"/>
      <c r="K43" s="324"/>
      <c r="L43" s="320"/>
      <c r="M43" s="320"/>
      <c r="N43" s="320"/>
      <c r="O43" s="320"/>
      <c r="P43" s="320"/>
      <c r="Q43" s="326"/>
      <c r="R43" s="326"/>
      <c r="S43" s="326"/>
      <c r="T43" s="64"/>
    </row>
    <row r="44" spans="1:20" ht="15.5" x14ac:dyDescent="0.35">
      <c r="A44" s="324"/>
      <c r="B44" s="66"/>
      <c r="C44" s="324"/>
      <c r="D44" s="66"/>
      <c r="E44" s="327"/>
      <c r="F44" s="324"/>
      <c r="G44" s="324"/>
      <c r="H44" s="324"/>
      <c r="I44" s="324"/>
      <c r="J44" s="66"/>
      <c r="K44" s="328"/>
      <c r="L44" s="320"/>
      <c r="M44" s="66"/>
      <c r="N44" s="320"/>
      <c r="O44" s="326" t="s">
        <v>54</v>
      </c>
      <c r="P44" s="326"/>
      <c r="Q44" s="324"/>
      <c r="R44" s="324"/>
      <c r="S44" s="66"/>
      <c r="T44" s="65"/>
    </row>
    <row r="45" spans="1:20" ht="14.5" x14ac:dyDescent="0.35">
      <c r="A45" s="332"/>
      <c r="B45" s="332"/>
      <c r="C45" s="332"/>
      <c r="D45" s="332"/>
      <c r="E45" s="332"/>
      <c r="F45" s="332"/>
      <c r="G45" s="332"/>
      <c r="H45" s="320"/>
      <c r="I45" s="320"/>
      <c r="J45" s="320"/>
      <c r="K45" s="320"/>
      <c r="L45" s="320"/>
      <c r="M45" s="66"/>
      <c r="N45" s="320"/>
      <c r="O45" s="324" t="s">
        <v>55</v>
      </c>
      <c r="P45" s="324"/>
      <c r="Q45" s="320"/>
      <c r="R45" s="320"/>
      <c r="S45" s="320"/>
    </row>
    <row r="46" spans="1:20" ht="14.5" x14ac:dyDescent="0.35">
      <c r="A46" s="320"/>
      <c r="B46" s="320"/>
      <c r="C46" s="320"/>
      <c r="D46" s="320"/>
      <c r="E46" s="321"/>
      <c r="F46" s="320"/>
      <c r="G46" s="320"/>
      <c r="H46" s="320"/>
      <c r="I46" s="320"/>
      <c r="J46" s="320"/>
      <c r="K46" s="320"/>
      <c r="L46" s="324"/>
      <c r="M46" s="66"/>
      <c r="N46" s="324"/>
      <c r="O46" s="324"/>
      <c r="P46" s="324"/>
      <c r="Q46" s="320"/>
      <c r="R46" s="320"/>
      <c r="S46" s="320"/>
    </row>
    <row r="47" spans="1:20" ht="14.5" x14ac:dyDescent="0.35">
      <c r="A47" s="369" t="s">
        <v>673</v>
      </c>
      <c r="B47" s="6"/>
      <c r="C47" s="6"/>
      <c r="D47" s="6"/>
      <c r="E47" s="7"/>
      <c r="F47" s="370"/>
      <c r="G47" s="369" t="s">
        <v>675</v>
      </c>
      <c r="H47" s="371"/>
      <c r="I47" s="6"/>
      <c r="J47" s="6"/>
      <c r="K47" s="6"/>
      <c r="L47" s="372"/>
      <c r="M47" s="373"/>
      <c r="N47" s="369" t="s">
        <v>671</v>
      </c>
      <c r="O47" s="370"/>
      <c r="P47" s="370"/>
      <c r="Q47" s="371"/>
      <c r="R47" s="371"/>
      <c r="S47" s="371"/>
    </row>
    <row r="48" spans="1:20" ht="14.5" x14ac:dyDescent="0.35">
      <c r="A48" s="374" t="s">
        <v>674</v>
      </c>
      <c r="B48" s="6"/>
      <c r="C48" s="6"/>
      <c r="D48" s="6"/>
      <c r="E48" s="7"/>
      <c r="F48" s="6"/>
      <c r="G48" s="374" t="s">
        <v>676</v>
      </c>
      <c r="H48" s="6"/>
      <c r="I48" s="6"/>
      <c r="J48" s="6"/>
      <c r="K48" s="6"/>
      <c r="L48" s="372"/>
      <c r="M48" s="375"/>
      <c r="N48" s="374" t="s">
        <v>672</v>
      </c>
      <c r="O48" s="372"/>
      <c r="P48" s="372"/>
      <c r="Q48" s="6"/>
      <c r="R48" s="6"/>
      <c r="S48" s="6"/>
    </row>
    <row r="49" spans="1:19" ht="14.5" x14ac:dyDescent="0.35">
      <c r="A49" s="320"/>
      <c r="B49" s="320"/>
      <c r="C49" s="320"/>
      <c r="D49" s="320"/>
      <c r="E49" s="321"/>
      <c r="F49" s="320"/>
      <c r="G49" s="320"/>
      <c r="H49" s="320"/>
      <c r="I49" s="320"/>
      <c r="J49" s="320"/>
      <c r="K49" s="320"/>
      <c r="L49" s="324"/>
      <c r="M49" s="66"/>
      <c r="N49" s="324"/>
      <c r="O49" s="324"/>
      <c r="P49" s="324"/>
      <c r="Q49" s="320"/>
      <c r="R49" s="320"/>
      <c r="S49" s="320"/>
    </row>
    <row r="50" spans="1:19" x14ac:dyDescent="0.3">
      <c r="A50" s="320"/>
      <c r="B50" s="320"/>
      <c r="C50" s="320"/>
      <c r="D50" s="320"/>
      <c r="E50" s="321"/>
      <c r="F50" s="320"/>
      <c r="G50" s="320"/>
      <c r="H50" s="320"/>
      <c r="I50" s="320"/>
      <c r="J50" s="320"/>
      <c r="K50" s="234">
        <f>(K19+K26+K29+K30)/(D19+D26+D29+D30)</f>
        <v>0.99186991869918695</v>
      </c>
      <c r="L50" s="320"/>
      <c r="M50" s="320"/>
      <c r="N50" s="320"/>
      <c r="O50" s="320"/>
      <c r="P50" s="320"/>
      <c r="Q50" s="320"/>
      <c r="R50" s="320"/>
      <c r="S50" s="320"/>
    </row>
    <row r="51" spans="1:19" x14ac:dyDescent="0.3">
      <c r="A51" s="320"/>
      <c r="B51" s="320"/>
      <c r="C51" s="320"/>
      <c r="D51" s="320"/>
      <c r="E51" s="321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</row>
    <row r="52" spans="1:19" x14ac:dyDescent="0.3">
      <c r="A52" s="320"/>
      <c r="B52" s="320"/>
      <c r="C52" s="320"/>
      <c r="D52" s="320"/>
      <c r="E52" s="321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</row>
    <row r="53" spans="1:19" x14ac:dyDescent="0.3">
      <c r="A53" s="320"/>
      <c r="B53" s="320"/>
      <c r="C53" s="320"/>
      <c r="D53" s="320"/>
      <c r="E53" s="321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</row>
    <row r="54" spans="1:19" x14ac:dyDescent="0.3">
      <c r="A54" s="320"/>
      <c r="B54" s="320"/>
      <c r="C54" s="320"/>
      <c r="D54" s="320"/>
      <c r="E54" s="321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</row>
    <row r="55" spans="1:19" x14ac:dyDescent="0.3">
      <c r="A55" s="320"/>
      <c r="B55" s="320"/>
      <c r="C55" s="320"/>
      <c r="D55" s="320"/>
      <c r="E55" s="321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</row>
    <row r="56" spans="1:19" x14ac:dyDescent="0.3">
      <c r="A56" s="320"/>
      <c r="B56" s="320"/>
      <c r="C56" s="320"/>
      <c r="D56" s="320"/>
      <c r="E56" s="321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</row>
    <row r="57" spans="1:19" x14ac:dyDescent="0.3">
      <c r="A57" s="320"/>
      <c r="B57" s="320"/>
      <c r="C57" s="320"/>
      <c r="D57" s="320"/>
      <c r="E57" s="321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</row>
    <row r="58" spans="1:19" x14ac:dyDescent="0.3">
      <c r="A58" s="320"/>
      <c r="B58" s="320"/>
      <c r="C58" s="320"/>
      <c r="D58" s="320"/>
      <c r="E58" s="321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</row>
    <row r="59" spans="1:19" x14ac:dyDescent="0.3">
      <c r="A59" s="320"/>
      <c r="B59" s="320"/>
      <c r="C59" s="320"/>
      <c r="D59" s="320"/>
      <c r="E59" s="321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14" scale="62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zoomScale="115" zoomScaleNormal="115" workbookViewId="0"/>
  </sheetViews>
  <sheetFormatPr defaultColWidth="9.1796875" defaultRowHeight="14.5" x14ac:dyDescent="0.35"/>
  <cols>
    <col min="1" max="1" width="9.1796875" style="66"/>
    <col min="2" max="2" width="16.7265625" style="66" customWidth="1"/>
    <col min="3" max="3" width="12.81640625" style="66" customWidth="1"/>
    <col min="4" max="4" width="9.1796875" style="66"/>
    <col min="5" max="7" width="9.1796875" style="66" hidden="1" customWidth="1"/>
    <col min="8" max="16384" width="9.1796875" style="66"/>
  </cols>
  <sheetData>
    <row r="1" spans="2:7" x14ac:dyDescent="0.35">
      <c r="C1" s="315" t="s">
        <v>56</v>
      </c>
    </row>
    <row r="2" spans="2:7" x14ac:dyDescent="0.35">
      <c r="B2" s="315" t="s">
        <v>57</v>
      </c>
      <c r="C2" s="316">
        <f>((CPMR!E17+CPMR!E35+CPMR!E26)/(CPMR!E39-CPMR!E27-CPMR!E28))</f>
        <v>0.64760733747096921</v>
      </c>
      <c r="E2" s="66">
        <f>IF(OR(C2&gt;1,C2&lt;0),0,C2)</f>
        <v>0.64760733747096921</v>
      </c>
    </row>
    <row r="3" spans="2:7" x14ac:dyDescent="0.35">
      <c r="B3" s="315" t="s">
        <v>58</v>
      </c>
      <c r="C3" s="316">
        <f>(CPMR!D17+CPMR!D35+CPMR!D26)/(CPMR!D39-CPMR!D27-CPMR!D28)</f>
        <v>7.1025020177562556E-2</v>
      </c>
      <c r="E3" s="66">
        <f t="shared" ref="E3:E21" si="0">IF(OR(C3&gt;1,C3&lt;0),0,C3)</f>
        <v>7.1025020177562556E-2</v>
      </c>
    </row>
    <row r="4" spans="2:7" x14ac:dyDescent="0.35">
      <c r="B4" s="315" t="s">
        <v>59</v>
      </c>
      <c r="C4" s="316">
        <f>(CPMR!E19+CPMR!E20+CPMR!E21)/(CPMR!E39-CPMR!E27-CPMR!E28)</f>
        <v>0.1014850851333379</v>
      </c>
      <c r="E4" s="66">
        <f>IF(OR(C4&gt;1,C4&lt;0),1,C4)</f>
        <v>0.1014850851333379</v>
      </c>
    </row>
    <row r="5" spans="2:7" x14ac:dyDescent="0.35">
      <c r="B5" s="315" t="s">
        <v>60</v>
      </c>
      <c r="C5" s="316">
        <f>(CPMR!E29+CPMR!E30+CPMR!E31+CPMR!E32)/(CPMR!E39-CPMR!E27-CPMR!E28)</f>
        <v>0.18136744465343071</v>
      </c>
      <c r="E5" s="66">
        <f>IF(OR(C5&gt;1,C5&lt;0),1,C5)</f>
        <v>0.18136744465343071</v>
      </c>
    </row>
    <row r="6" spans="2:7" x14ac:dyDescent="0.35">
      <c r="B6" s="315" t="s">
        <v>61</v>
      </c>
      <c r="C6" s="316">
        <f>(CPMR!E22+CPMR!E23)/(CPMR!E39-CPMR!E27-CPMR!E28)</f>
        <v>1.9788383480149351E-2</v>
      </c>
      <c r="E6" s="66">
        <f>IF(OR(C6&gt;1,C6&lt;0),1,C6)</f>
        <v>1.9788383480149351E-2</v>
      </c>
    </row>
    <row r="7" spans="2:7" x14ac:dyDescent="0.35">
      <c r="B7" s="315" t="s">
        <v>62</v>
      </c>
      <c r="C7" s="316">
        <f>(CPMR!E24+CPMR!E25)/(CPMR!E39-CPMR!E27-CPMR!E28)</f>
        <v>4.724096398614515E-4</v>
      </c>
      <c r="E7" s="66">
        <f>IF(OR(C7&gt;1,C7&lt;0),1,C7)</f>
        <v>4.724096398614515E-4</v>
      </c>
    </row>
    <row r="8" spans="2:7" ht="15" hidden="1" customHeight="1" x14ac:dyDescent="0.35">
      <c r="B8" s="315" t="s">
        <v>63</v>
      </c>
      <c r="C8" s="316">
        <f>CPMR!E26/CPMR!E39</f>
        <v>0</v>
      </c>
      <c r="E8" s="66">
        <f t="shared" si="0"/>
        <v>0</v>
      </c>
    </row>
    <row r="9" spans="2:7" x14ac:dyDescent="0.35">
      <c r="B9" s="315" t="s">
        <v>64</v>
      </c>
      <c r="C9" s="317">
        <f>CPMR!G17/CPMR!C17</f>
        <v>3.0625</v>
      </c>
      <c r="E9" s="66">
        <f>IF(OR(C9&gt;100,C9&lt;0),0,C9)</f>
        <v>3.0625</v>
      </c>
    </row>
    <row r="10" spans="2:7" x14ac:dyDescent="0.35">
      <c r="B10" s="315" t="s">
        <v>65</v>
      </c>
      <c r="C10" s="317">
        <f>CPMR!H17/CPMR!C17</f>
        <v>3</v>
      </c>
      <c r="E10" s="66">
        <f>IF(OR(C10&gt;100,C10&lt;0),0,C10)</f>
        <v>3</v>
      </c>
    </row>
    <row r="11" spans="2:7" x14ac:dyDescent="0.35">
      <c r="B11" s="315" t="s">
        <v>66</v>
      </c>
      <c r="C11" s="317">
        <f>CPMR!I17/CPMR!C17</f>
        <v>2.2083333333333335</v>
      </c>
      <c r="E11" s="66">
        <f>IF(OR(C11&gt;100,C11&lt;0),0,C11)</f>
        <v>2.2083333333333335</v>
      </c>
    </row>
    <row r="12" spans="2:7" x14ac:dyDescent="0.35">
      <c r="B12" s="315" t="s">
        <v>67</v>
      </c>
      <c r="C12" s="316">
        <f>(CPMR!J17+CPMR!J20+CPMR!J26+CPMR!J29+CPMR!J30)/(CPMR!C17+CPMR!C20+CPMR!C26+CPMR!C29+CPMR!C30)</f>
        <v>1</v>
      </c>
      <c r="E12" s="66">
        <f t="shared" si="0"/>
        <v>1</v>
      </c>
    </row>
    <row r="13" spans="2:7" x14ac:dyDescent="0.35">
      <c r="B13" s="315" t="s">
        <v>68</v>
      </c>
      <c r="C13" s="316">
        <f>CPMR!K17/CPMR!D17</f>
        <v>1</v>
      </c>
      <c r="E13" s="66">
        <f t="shared" si="0"/>
        <v>1</v>
      </c>
    </row>
    <row r="14" spans="2:7" x14ac:dyDescent="0.35">
      <c r="B14" s="315" t="s">
        <v>69</v>
      </c>
      <c r="C14" s="316" t="e">
        <f>(CPMR!K33-CPMR!K27-CPMR!K28-CPMR!K21-CPMR!K23-CPMR!K25-CPMR!K32)/(CPMR!D33-CPMR!D27-CPMR!D28-CPMR!D21-CPMR!#REF!-CPMR!D25-CPMR!D32)</f>
        <v>#REF!</v>
      </c>
      <c r="E14" s="66" t="e">
        <f t="shared" si="0"/>
        <v>#REF!</v>
      </c>
      <c r="F14" s="66">
        <f>CPMR!K33/CPMR!D33</f>
        <v>0.70301418439716312</v>
      </c>
      <c r="G14" s="66">
        <f>(CPMR!K19+CPMR!K26+CPMR!K29+CPMR!K30)/(CPMR!D19+CPMR!D26+CPMR!D29+CPMR!D30)</f>
        <v>0.99186991869918695</v>
      </c>
    </row>
    <row r="15" spans="2:7" x14ac:dyDescent="0.35">
      <c r="B15" s="315" t="s">
        <v>70</v>
      </c>
      <c r="C15" s="316">
        <f>CPMR!E39/CPMR!B39</f>
        <v>0.80193771891322707</v>
      </c>
      <c r="E15" s="66">
        <f t="shared" si="0"/>
        <v>0.80193771891322707</v>
      </c>
    </row>
    <row r="16" spans="2:7" x14ac:dyDescent="0.35">
      <c r="B16" s="315" t="s">
        <v>71</v>
      </c>
      <c r="C16" s="316">
        <f>CPMR!D17/CPMR!C17</f>
        <v>0.91666666666666663</v>
      </c>
      <c r="E16" s="66">
        <f t="shared" si="0"/>
        <v>0.91666666666666663</v>
      </c>
    </row>
    <row r="17" spans="2:5" hidden="1" x14ac:dyDescent="0.35">
      <c r="B17" s="315" t="s">
        <v>72</v>
      </c>
      <c r="C17" s="316">
        <f>CPMR!F17/CPMR!C17</f>
        <v>8.3333333333333329E-2</v>
      </c>
      <c r="E17" s="66">
        <f t="shared" si="0"/>
        <v>8.3333333333333329E-2</v>
      </c>
    </row>
    <row r="18" spans="2:5" x14ac:dyDescent="0.35">
      <c r="B18" s="315" t="s">
        <v>73</v>
      </c>
      <c r="C18" s="316">
        <f>CPMR!S14/CPMR!D14</f>
        <v>1</v>
      </c>
      <c r="E18" s="66">
        <f t="shared" si="0"/>
        <v>1</v>
      </c>
    </row>
    <row r="19" spans="2:5" x14ac:dyDescent="0.35">
      <c r="B19" s="315" t="s">
        <v>74</v>
      </c>
      <c r="C19" s="316">
        <f>CPMR!S15/CPMR!D15</f>
        <v>1</v>
      </c>
      <c r="E19" s="66">
        <f t="shared" si="0"/>
        <v>1</v>
      </c>
    </row>
    <row r="20" spans="2:5" x14ac:dyDescent="0.35">
      <c r="B20" s="315" t="s">
        <v>75</v>
      </c>
      <c r="C20" s="316" t="e">
        <f>CPMR!S16/CPMR!D16</f>
        <v>#DIV/0!</v>
      </c>
      <c r="E20" s="66" t="e">
        <f t="shared" si="0"/>
        <v>#DIV/0!</v>
      </c>
    </row>
    <row r="21" spans="2:5" ht="15" hidden="1" customHeight="1" x14ac:dyDescent="0.35">
      <c r="B21" s="315" t="s">
        <v>76</v>
      </c>
      <c r="C21" s="316" t="s">
        <v>88</v>
      </c>
      <c r="E21" s="66">
        <f t="shared" si="0"/>
        <v>0</v>
      </c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zoomScale="86" zoomScaleNormal="86" zoomScaleSheetLayoutView="115" workbookViewId="0">
      <selection activeCell="L3" sqref="L3:O3"/>
    </sheetView>
  </sheetViews>
  <sheetFormatPr defaultColWidth="9.1796875" defaultRowHeight="12.5" x14ac:dyDescent="0.25"/>
  <cols>
    <col min="1" max="1" width="9.1796875" style="228"/>
    <col min="2" max="2" width="2.81640625" style="252" customWidth="1"/>
    <col min="3" max="3" width="9.1796875" style="261"/>
    <col min="4" max="4" width="10" style="261" customWidth="1"/>
    <col min="5" max="5" width="10" style="244" customWidth="1"/>
    <col min="6" max="6" width="2.81640625" style="244" customWidth="1"/>
    <col min="7" max="7" width="9.26953125" style="244" customWidth="1"/>
    <col min="8" max="8" width="6" style="244" customWidth="1"/>
    <col min="9" max="9" width="8.54296875" style="244" customWidth="1"/>
    <col min="10" max="10" width="8.7265625" style="244" customWidth="1"/>
    <col min="11" max="15" width="9.1796875" style="244"/>
    <col min="16" max="17" width="4.81640625" hidden="1" customWidth="1"/>
    <col min="18" max="18" width="18.1796875" style="245" hidden="1" customWidth="1"/>
    <col min="21" max="16384" width="9.1796875" style="244"/>
  </cols>
  <sheetData>
    <row r="1" spans="1:20" x14ac:dyDescent="0.25">
      <c r="B1" s="225" t="s">
        <v>3</v>
      </c>
      <c r="T1" s="244"/>
    </row>
    <row r="2" spans="1:20" x14ac:dyDescent="0.25">
      <c r="A2" s="251" t="s">
        <v>162</v>
      </c>
      <c r="C2" s="253"/>
      <c r="D2" s="341" t="s">
        <v>637</v>
      </c>
      <c r="E2" s="341"/>
      <c r="F2" s="341"/>
      <c r="G2" s="341"/>
      <c r="H2" s="341"/>
      <c r="I2" s="341"/>
      <c r="J2"/>
      <c r="K2" s="251" t="s">
        <v>163</v>
      </c>
      <c r="L2" s="343">
        <v>45369</v>
      </c>
      <c r="M2" s="343"/>
      <c r="N2" s="343"/>
      <c r="O2" s="343"/>
      <c r="T2" s="244"/>
    </row>
    <row r="3" spans="1:20" x14ac:dyDescent="0.25">
      <c r="A3" s="251" t="s">
        <v>164</v>
      </c>
      <c r="C3" s="253"/>
      <c r="D3" s="341" t="s">
        <v>639</v>
      </c>
      <c r="E3" s="341"/>
      <c r="F3" s="341"/>
      <c r="G3" s="341"/>
      <c r="H3" s="341"/>
      <c r="I3" s="341"/>
      <c r="J3"/>
      <c r="K3" s="251" t="s">
        <v>165</v>
      </c>
      <c r="L3" s="344" t="s">
        <v>640</v>
      </c>
      <c r="M3" s="344"/>
      <c r="N3" s="344"/>
      <c r="O3" s="344"/>
      <c r="T3" s="244"/>
    </row>
    <row r="4" spans="1:20" x14ac:dyDescent="0.25">
      <c r="A4" s="251"/>
      <c r="C4" s="253"/>
      <c r="D4" s="253"/>
      <c r="E4"/>
      <c r="F4"/>
      <c r="G4"/>
      <c r="H4"/>
      <c r="I4"/>
      <c r="J4"/>
      <c r="K4"/>
      <c r="L4"/>
      <c r="M4"/>
      <c r="N4"/>
      <c r="O4"/>
      <c r="T4" s="244"/>
    </row>
    <row r="5" spans="1:20" x14ac:dyDescent="0.25">
      <c r="A5" s="251"/>
      <c r="C5" s="253"/>
      <c r="D5" s="253"/>
      <c r="E5"/>
      <c r="F5"/>
      <c r="G5"/>
      <c r="H5"/>
      <c r="I5"/>
      <c r="J5"/>
      <c r="K5"/>
      <c r="L5"/>
      <c r="M5"/>
      <c r="N5"/>
      <c r="O5"/>
      <c r="T5" s="244"/>
    </row>
    <row r="6" spans="1:20" ht="28.9" customHeight="1" x14ac:dyDescent="0.3">
      <c r="A6" s="345" t="s">
        <v>515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T6" s="244"/>
    </row>
    <row r="7" spans="1:20" x14ac:dyDescent="0.25">
      <c r="A7" s="251"/>
      <c r="B7" s="225"/>
      <c r="C7" s="253"/>
      <c r="D7" s="253"/>
      <c r="E7"/>
      <c r="F7"/>
      <c r="G7"/>
      <c r="H7"/>
      <c r="I7"/>
      <c r="J7"/>
      <c r="K7"/>
      <c r="L7"/>
      <c r="M7"/>
      <c r="N7"/>
      <c r="O7"/>
      <c r="T7" s="244"/>
    </row>
    <row r="8" spans="1:20" x14ac:dyDescent="0.25">
      <c r="A8" s="251" t="s">
        <v>343</v>
      </c>
      <c r="B8" s="225"/>
      <c r="C8" s="253"/>
      <c r="D8" s="253"/>
      <c r="E8"/>
      <c r="F8"/>
      <c r="G8"/>
      <c r="H8"/>
      <c r="I8"/>
      <c r="J8"/>
      <c r="K8"/>
      <c r="L8"/>
      <c r="M8"/>
      <c r="N8"/>
      <c r="O8"/>
      <c r="R8" s="245" t="str">
        <f>IF(COUNTA(B10,B12,E13,B15,G16)=5,criteria!I34,criteria!C34)</f>
        <v xml:space="preserve">Compliant </v>
      </c>
      <c r="T8" s="244"/>
    </row>
    <row r="9" spans="1:20" ht="15" customHeight="1" thickBot="1" x14ac:dyDescent="0.3">
      <c r="A9" s="251"/>
      <c r="B9" s="225"/>
      <c r="C9" s="253"/>
      <c r="D9" s="253"/>
      <c r="E9"/>
      <c r="F9"/>
      <c r="G9"/>
      <c r="H9"/>
      <c r="I9"/>
      <c r="J9"/>
      <c r="K9"/>
      <c r="L9"/>
      <c r="M9"/>
      <c r="N9"/>
      <c r="O9"/>
      <c r="T9" s="244"/>
    </row>
    <row r="10" spans="1:20" ht="15" customHeight="1" thickBot="1" x14ac:dyDescent="0.3">
      <c r="A10" s="251"/>
      <c r="B10" s="354" t="s">
        <v>641</v>
      </c>
      <c r="C10" s="253" t="s">
        <v>337</v>
      </c>
      <c r="D10" s="253"/>
      <c r="E10"/>
      <c r="F10" s="254"/>
      <c r="G10" s="253"/>
      <c r="H10"/>
      <c r="I10"/>
      <c r="J10"/>
      <c r="K10"/>
      <c r="L10"/>
      <c r="M10"/>
      <c r="N10"/>
      <c r="O10"/>
      <c r="R10"/>
      <c r="T10" s="244"/>
    </row>
    <row r="11" spans="1:20" ht="15" customHeight="1" thickBot="1" x14ac:dyDescent="0.3">
      <c r="A11" s="251"/>
      <c r="B11" s="225"/>
      <c r="C11" s="253"/>
      <c r="D11" s="253"/>
      <c r="E11"/>
      <c r="F11" s="254"/>
      <c r="G11" s="253"/>
      <c r="H11"/>
      <c r="I11"/>
      <c r="J11"/>
      <c r="K11"/>
      <c r="L11"/>
      <c r="M11"/>
      <c r="N11"/>
      <c r="O11"/>
      <c r="T11" s="244"/>
    </row>
    <row r="12" spans="1:20" ht="15" customHeight="1" thickBot="1" x14ac:dyDescent="0.3">
      <c r="A12" s="251"/>
      <c r="B12" s="354" t="s">
        <v>641</v>
      </c>
      <c r="C12" s="253" t="s">
        <v>338</v>
      </c>
      <c r="D12" s="253"/>
      <c r="E12"/>
      <c r="F12" s="254"/>
      <c r="G12" s="253"/>
      <c r="H12"/>
      <c r="I12"/>
      <c r="J12"/>
      <c r="K12"/>
      <c r="L12"/>
      <c r="M12"/>
      <c r="N12"/>
      <c r="O12"/>
      <c r="T12" s="244"/>
    </row>
    <row r="13" spans="1:20" ht="15" customHeight="1" x14ac:dyDescent="0.25">
      <c r="A13" s="251"/>
      <c r="B13" s="225"/>
      <c r="C13" s="253" t="s">
        <v>447</v>
      </c>
      <c r="D13" s="253"/>
      <c r="E13" s="336" t="s">
        <v>646</v>
      </c>
      <c r="F13" s="336"/>
      <c r="G13" s="336"/>
      <c r="H13" s="336"/>
      <c r="I13" s="336"/>
      <c r="J13" s="336"/>
      <c r="K13" s="336"/>
      <c r="L13" s="336"/>
      <c r="M13" s="336"/>
      <c r="N13"/>
      <c r="O13"/>
      <c r="T13" s="244"/>
    </row>
    <row r="14" spans="1:20" ht="15" customHeight="1" thickBot="1" x14ac:dyDescent="0.3">
      <c r="A14" s="251"/>
      <c r="B14" s="225"/>
      <c r="C14" s="253"/>
      <c r="D14" s="253"/>
      <c r="E14"/>
      <c r="F14" s="254"/>
      <c r="G14" s="253"/>
      <c r="H14"/>
      <c r="I14"/>
      <c r="J14"/>
      <c r="K14"/>
      <c r="L14"/>
      <c r="M14"/>
      <c r="N14"/>
      <c r="O14"/>
      <c r="T14" s="244"/>
    </row>
    <row r="15" spans="1:20" ht="15" customHeight="1" thickBot="1" x14ac:dyDescent="0.3">
      <c r="A15" s="251"/>
      <c r="B15" s="354" t="s">
        <v>641</v>
      </c>
      <c r="C15" s="253" t="s">
        <v>339</v>
      </c>
      <c r="D15" s="253"/>
      <c r="E15"/>
      <c r="F15" s="254"/>
      <c r="G15" s="253"/>
      <c r="H15"/>
      <c r="I15"/>
      <c r="J15"/>
      <c r="K15"/>
      <c r="L15"/>
      <c r="M15"/>
      <c r="N15"/>
      <c r="O15"/>
      <c r="T15" s="244"/>
    </row>
    <row r="16" spans="1:20" ht="15" customHeight="1" x14ac:dyDescent="0.25">
      <c r="A16" s="251"/>
      <c r="B16" s="225"/>
      <c r="C16" s="257" t="s">
        <v>448</v>
      </c>
      <c r="D16" s="253"/>
      <c r="E16"/>
      <c r="F16" s="254"/>
      <c r="G16" s="355">
        <v>44957</v>
      </c>
      <c r="H16" s="342"/>
      <c r="I16" s="342"/>
      <c r="J16" s="342"/>
      <c r="K16" s="342"/>
      <c r="L16" s="342"/>
      <c r="M16" s="342"/>
      <c r="N16"/>
      <c r="O16"/>
      <c r="T16" s="244"/>
    </row>
    <row r="17" spans="1:20" ht="15" customHeight="1" x14ac:dyDescent="0.25">
      <c r="A17" s="251"/>
      <c r="B17" s="225"/>
      <c r="C17" s="253"/>
      <c r="D17" s="253"/>
      <c r="E17"/>
      <c r="F17"/>
      <c r="G17"/>
      <c r="H17"/>
      <c r="I17"/>
      <c r="J17"/>
      <c r="K17"/>
      <c r="L17"/>
      <c r="M17"/>
      <c r="N17"/>
      <c r="O17"/>
      <c r="T17" s="244"/>
    </row>
    <row r="18" spans="1:20" x14ac:dyDescent="0.25">
      <c r="A18" s="251" t="s">
        <v>166</v>
      </c>
      <c r="B18" s="225"/>
      <c r="C18" s="253"/>
      <c r="D18" s="253"/>
      <c r="E18"/>
      <c r="F18"/>
      <c r="G18"/>
      <c r="H18"/>
      <c r="I18"/>
      <c r="J18"/>
      <c r="K18"/>
      <c r="L18"/>
      <c r="M18"/>
      <c r="N18"/>
      <c r="O18"/>
      <c r="R18" s="246" t="str">
        <f>IF(R26=3,criteria!I35,IF(AND(R21=1,R26=2),criteria!G35,IF(AND(R21=1,R26=1),criteria!E35,criteria!C35)))</f>
        <v xml:space="preserve">Fully Compliant </v>
      </c>
      <c r="T18" s="244"/>
    </row>
    <row r="19" spans="1:20" x14ac:dyDescent="0.25">
      <c r="A19" s="251" t="s">
        <v>344</v>
      </c>
      <c r="B19" s="225"/>
      <c r="C19" s="253"/>
      <c r="D19" s="253"/>
      <c r="E19"/>
      <c r="F19"/>
      <c r="G19"/>
      <c r="H19"/>
      <c r="I19"/>
      <c r="J19"/>
      <c r="K19" s="251"/>
      <c r="L19"/>
      <c r="M19"/>
      <c r="N19"/>
      <c r="O19"/>
      <c r="R19" s="245" t="str">
        <f>IF(COUNTA(B21,G25,B27)=3,criteria!I35,criteria!C35)</f>
        <v xml:space="preserve">Fully Compliant </v>
      </c>
      <c r="T19" s="244"/>
    </row>
    <row r="20" spans="1:20" ht="15" customHeight="1" thickBot="1" x14ac:dyDescent="0.3">
      <c r="A20" s="251"/>
      <c r="B20" s="225"/>
      <c r="C20" s="253"/>
      <c r="D20" s="253"/>
      <c r="E20"/>
      <c r="F20"/>
      <c r="G20"/>
      <c r="H20"/>
      <c r="I20"/>
      <c r="J20"/>
      <c r="K20"/>
      <c r="L20"/>
      <c r="M20"/>
      <c r="N20"/>
      <c r="O20"/>
      <c r="T20" s="244"/>
    </row>
    <row r="21" spans="1:20" ht="15" customHeight="1" thickBot="1" x14ac:dyDescent="0.3">
      <c r="A21" s="251"/>
      <c r="B21" s="354" t="s">
        <v>641</v>
      </c>
      <c r="C21" s="253" t="s">
        <v>345</v>
      </c>
      <c r="D21" s="253"/>
      <c r="E21"/>
      <c r="F21" s="254"/>
      <c r="G21" s="253"/>
      <c r="H21"/>
      <c r="I21"/>
      <c r="J21"/>
      <c r="K21"/>
      <c r="L21"/>
      <c r="M21"/>
      <c r="N21"/>
      <c r="O21"/>
      <c r="R21">
        <f>COUNTA(B21)</f>
        <v>1</v>
      </c>
      <c r="T21" s="244"/>
    </row>
    <row r="22" spans="1:20" ht="15" customHeight="1" thickBot="1" x14ac:dyDescent="0.3">
      <c r="A22" s="251"/>
      <c r="B22" s="225"/>
      <c r="C22" s="253"/>
      <c r="D22" s="253"/>
      <c r="E22"/>
      <c r="F22" s="254"/>
      <c r="G22" s="253"/>
      <c r="H22"/>
      <c r="I22"/>
      <c r="J22"/>
      <c r="K22"/>
      <c r="L22"/>
      <c r="M22"/>
      <c r="N22"/>
      <c r="O22"/>
      <c r="R22"/>
      <c r="T22" s="244"/>
    </row>
    <row r="23" spans="1:20" ht="15" customHeight="1" thickBot="1" x14ac:dyDescent="0.3">
      <c r="A23" s="251"/>
      <c r="B23" s="354" t="s">
        <v>641</v>
      </c>
      <c r="C23" s="253" t="s">
        <v>346</v>
      </c>
      <c r="D23" s="253"/>
      <c r="E23"/>
      <c r="F23" s="254"/>
      <c r="G23" s="253"/>
      <c r="H23"/>
      <c r="I23"/>
      <c r="J23"/>
      <c r="K23"/>
      <c r="L23"/>
      <c r="M23"/>
      <c r="N23"/>
      <c r="O23"/>
      <c r="R23">
        <f>IF(COUNTA(B23,G25)=2,1,0)</f>
        <v>1</v>
      </c>
      <c r="T23" s="244"/>
    </row>
    <row r="24" spans="1:20" ht="15" customHeight="1" x14ac:dyDescent="0.25">
      <c r="A24" s="251"/>
      <c r="B24" s="225"/>
      <c r="C24" s="253" t="s">
        <v>347</v>
      </c>
      <c r="D24" s="253"/>
      <c r="E24"/>
      <c r="F24" s="254"/>
      <c r="G24" s="253"/>
      <c r="H24"/>
      <c r="I24"/>
      <c r="J24"/>
      <c r="K24"/>
      <c r="L24"/>
      <c r="M24"/>
      <c r="N24"/>
      <c r="O24"/>
      <c r="R24"/>
      <c r="T24" s="244"/>
    </row>
    <row r="25" spans="1:20" ht="15" customHeight="1" x14ac:dyDescent="0.25">
      <c r="A25" s="251"/>
      <c r="B25" s="225"/>
      <c r="C25" s="257" t="s">
        <v>448</v>
      </c>
      <c r="D25" s="253"/>
      <c r="E25"/>
      <c r="F25" s="254"/>
      <c r="G25" s="355">
        <v>44824</v>
      </c>
      <c r="H25" s="342"/>
      <c r="I25" s="342"/>
      <c r="J25" s="342"/>
      <c r="K25" s="342"/>
      <c r="L25" s="342"/>
      <c r="M25" s="342"/>
      <c r="N25"/>
      <c r="O25"/>
      <c r="R25">
        <f>COUNTA(B27)</f>
        <v>1</v>
      </c>
      <c r="T25" s="244"/>
    </row>
    <row r="26" spans="1:20" ht="15" customHeight="1" thickBot="1" x14ac:dyDescent="0.3">
      <c r="A26" s="251"/>
      <c r="B26" s="225"/>
      <c r="C26" s="253"/>
      <c r="D26" s="253"/>
      <c r="E26"/>
      <c r="F26" s="254"/>
      <c r="G26" s="253"/>
      <c r="H26"/>
      <c r="I26"/>
      <c r="J26"/>
      <c r="K26"/>
      <c r="L26"/>
      <c r="M26"/>
      <c r="N26"/>
      <c r="O26"/>
      <c r="R26" s="245">
        <f>SUM(R21:R25)</f>
        <v>3</v>
      </c>
      <c r="T26" s="244"/>
    </row>
    <row r="27" spans="1:20" ht="15" customHeight="1" thickBot="1" x14ac:dyDescent="0.3">
      <c r="A27" s="251"/>
      <c r="B27" s="354" t="s">
        <v>641</v>
      </c>
      <c r="C27" s="253" t="s">
        <v>348</v>
      </c>
      <c r="D27" s="253"/>
      <c r="E27"/>
      <c r="F27" s="254"/>
      <c r="G27" s="253"/>
      <c r="H27"/>
      <c r="I27"/>
      <c r="J27"/>
      <c r="K27"/>
      <c r="L27"/>
      <c r="M27"/>
      <c r="N27"/>
      <c r="O27"/>
      <c r="T27" s="244"/>
    </row>
    <row r="28" spans="1:20" ht="15" customHeight="1" x14ac:dyDescent="0.25">
      <c r="A28" s="251"/>
      <c r="B28" s="225"/>
      <c r="C28" s="253"/>
      <c r="D28" s="253"/>
      <c r="E28"/>
      <c r="F28"/>
      <c r="G28"/>
      <c r="H28"/>
      <c r="I28"/>
      <c r="J28"/>
      <c r="K28"/>
      <c r="L28"/>
      <c r="M28"/>
      <c r="N28"/>
      <c r="O28"/>
      <c r="T28" s="244"/>
    </row>
    <row r="29" spans="1:20" ht="15" customHeight="1" x14ac:dyDescent="0.25">
      <c r="A29" s="251" t="s">
        <v>386</v>
      </c>
      <c r="B29" s="225"/>
      <c r="C29" s="253"/>
      <c r="D29" s="253"/>
      <c r="E29"/>
      <c r="F29"/>
      <c r="G29"/>
      <c r="H29"/>
      <c r="I29"/>
      <c r="J29"/>
      <c r="K29"/>
      <c r="L29"/>
      <c r="M29"/>
      <c r="N29"/>
      <c r="O29"/>
      <c r="T29" s="244"/>
    </row>
    <row r="30" spans="1:20" ht="15" customHeight="1" thickBot="1" x14ac:dyDescent="0.3">
      <c r="A30" s="251"/>
      <c r="B30" s="225"/>
      <c r="C30" s="253"/>
      <c r="D30" s="253"/>
      <c r="E30"/>
      <c r="F30"/>
      <c r="G30"/>
      <c r="H30"/>
      <c r="I30"/>
      <c r="J30"/>
      <c r="K30"/>
      <c r="L30"/>
      <c r="M30"/>
      <c r="N30"/>
      <c r="O30"/>
      <c r="R30" s="245" t="str">
        <f>IF(CPMR!B24=0, "n/a", Questionnaire!R32)</f>
        <v xml:space="preserve">Compliant </v>
      </c>
      <c r="T30" s="244"/>
    </row>
    <row r="31" spans="1:20" ht="15" customHeight="1" thickBot="1" x14ac:dyDescent="0.3">
      <c r="A31" s="251"/>
      <c r="B31" s="354" t="s">
        <v>641</v>
      </c>
      <c r="C31" s="253" t="s">
        <v>306</v>
      </c>
      <c r="D31" s="253"/>
      <c r="E31"/>
      <c r="F31"/>
      <c r="G31"/>
      <c r="H31"/>
      <c r="I31"/>
      <c r="J31"/>
      <c r="K31"/>
      <c r="L31"/>
      <c r="M31"/>
      <c r="N31"/>
      <c r="O31"/>
      <c r="T31" s="244"/>
    </row>
    <row r="32" spans="1:20" ht="15" customHeight="1" thickBot="1" x14ac:dyDescent="0.3">
      <c r="A32" s="251"/>
      <c r="B32" s="225"/>
      <c r="C32" s="253"/>
      <c r="D32" s="253"/>
      <c r="E32"/>
      <c r="F32"/>
      <c r="G32"/>
      <c r="H32"/>
      <c r="I32"/>
      <c r="J32"/>
      <c r="K32"/>
      <c r="L32"/>
      <c r="M32"/>
      <c r="N32"/>
      <c r="O32"/>
      <c r="R32" s="245" t="str">
        <f>IF(COUNTA(B31:B41)=5,criteria!I17,criteria!C17)</f>
        <v xml:space="preserve">Compliant </v>
      </c>
      <c r="T32" s="244"/>
    </row>
    <row r="33" spans="1:20" ht="15" customHeight="1" thickBot="1" x14ac:dyDescent="0.3">
      <c r="A33" s="251"/>
      <c r="B33" s="354" t="s">
        <v>641</v>
      </c>
      <c r="C33" s="253" t="s">
        <v>307</v>
      </c>
      <c r="D33" s="253"/>
      <c r="E33"/>
      <c r="F33"/>
      <c r="G33"/>
      <c r="H33"/>
      <c r="I33"/>
      <c r="J33"/>
      <c r="K33"/>
      <c r="L33"/>
      <c r="M33"/>
      <c r="N33"/>
      <c r="O33"/>
      <c r="T33" s="244"/>
    </row>
    <row r="34" spans="1:20" ht="15" customHeight="1" x14ac:dyDescent="0.25">
      <c r="A34" s="251"/>
      <c r="B34" s="225"/>
      <c r="C34" s="253" t="s">
        <v>308</v>
      </c>
      <c r="D34" s="253"/>
      <c r="E34"/>
      <c r="F34"/>
      <c r="G34"/>
      <c r="H34"/>
      <c r="I34"/>
      <c r="J34"/>
      <c r="K34"/>
      <c r="L34"/>
      <c r="M34"/>
      <c r="N34"/>
      <c r="O34"/>
      <c r="T34" s="244"/>
    </row>
    <row r="35" spans="1:20" ht="15" customHeight="1" thickBot="1" x14ac:dyDescent="0.3">
      <c r="A35" s="251"/>
      <c r="B35" s="225"/>
      <c r="C35" s="253"/>
      <c r="D35" s="253"/>
      <c r="E35"/>
      <c r="F35"/>
      <c r="G35"/>
      <c r="H35"/>
      <c r="I35"/>
      <c r="J35"/>
      <c r="K35"/>
      <c r="L35"/>
      <c r="M35"/>
      <c r="N35"/>
      <c r="O35"/>
      <c r="T35" s="244"/>
    </row>
    <row r="36" spans="1:20" ht="15" customHeight="1" thickBot="1" x14ac:dyDescent="0.3">
      <c r="A36" s="251"/>
      <c r="B36" s="354" t="s">
        <v>641</v>
      </c>
      <c r="C36" s="253" t="s">
        <v>309</v>
      </c>
      <c r="D36" s="253"/>
      <c r="E36"/>
      <c r="F36"/>
      <c r="G36"/>
      <c r="H36"/>
      <c r="I36"/>
      <c r="J36"/>
      <c r="K36"/>
      <c r="L36"/>
      <c r="M36"/>
      <c r="N36"/>
      <c r="O36"/>
      <c r="T36" s="244"/>
    </row>
    <row r="37" spans="1:20" ht="15" customHeight="1" x14ac:dyDescent="0.25">
      <c r="A37" s="251"/>
      <c r="B37" s="225"/>
      <c r="C37" s="253" t="s">
        <v>310</v>
      </c>
      <c r="D37" s="253"/>
      <c r="E37"/>
      <c r="F37"/>
      <c r="G37"/>
      <c r="H37"/>
      <c r="I37"/>
      <c r="J37"/>
      <c r="K37"/>
      <c r="L37"/>
      <c r="M37"/>
      <c r="N37"/>
      <c r="O37"/>
      <c r="T37" s="244"/>
    </row>
    <row r="38" spans="1:20" ht="15" customHeight="1" thickBot="1" x14ac:dyDescent="0.3">
      <c r="A38" s="251"/>
      <c r="B38" s="225"/>
      <c r="C38" s="253"/>
      <c r="D38" s="253"/>
      <c r="E38"/>
      <c r="F38"/>
      <c r="G38"/>
      <c r="H38"/>
      <c r="I38"/>
      <c r="J38"/>
      <c r="K38"/>
      <c r="L38"/>
      <c r="M38"/>
      <c r="N38"/>
      <c r="O38"/>
      <c r="T38" s="244"/>
    </row>
    <row r="39" spans="1:20" ht="15" customHeight="1" thickBot="1" x14ac:dyDescent="0.3">
      <c r="A39" s="251"/>
      <c r="B39" s="354" t="s">
        <v>641</v>
      </c>
      <c r="C39" s="253" t="s">
        <v>311</v>
      </c>
      <c r="D39" s="253"/>
      <c r="E39"/>
      <c r="F39"/>
      <c r="G39"/>
      <c r="H39"/>
      <c r="I39"/>
      <c r="J39"/>
      <c r="K39"/>
      <c r="L39"/>
      <c r="M39"/>
      <c r="N39"/>
      <c r="O39"/>
      <c r="T39" s="244"/>
    </row>
    <row r="40" spans="1:20" ht="15" customHeight="1" thickBot="1" x14ac:dyDescent="0.3">
      <c r="A40" s="251"/>
      <c r="B40" s="225"/>
      <c r="C40" s="253"/>
      <c r="D40" s="253"/>
      <c r="E40"/>
      <c r="F40"/>
      <c r="G40"/>
      <c r="H40"/>
      <c r="I40"/>
      <c r="J40"/>
      <c r="K40"/>
      <c r="L40"/>
      <c r="M40"/>
      <c r="N40"/>
      <c r="O40"/>
      <c r="T40" s="244"/>
    </row>
    <row r="41" spans="1:20" ht="15" customHeight="1" thickBot="1" x14ac:dyDescent="0.3">
      <c r="A41" s="251"/>
      <c r="B41" s="354" t="s">
        <v>641</v>
      </c>
      <c r="C41" s="253" t="s">
        <v>312</v>
      </c>
      <c r="D41" s="253"/>
      <c r="E41"/>
      <c r="F41"/>
      <c r="G41"/>
      <c r="H41"/>
      <c r="I41"/>
      <c r="J41"/>
      <c r="K41"/>
      <c r="L41"/>
      <c r="M41"/>
      <c r="N41"/>
      <c r="O41"/>
      <c r="T41" s="244"/>
    </row>
    <row r="42" spans="1:20" ht="15" customHeight="1" x14ac:dyDescent="0.25">
      <c r="A42" s="251"/>
      <c r="B42" s="225"/>
      <c r="C42" s="253" t="s">
        <v>313</v>
      </c>
      <c r="D42" s="253"/>
      <c r="E42"/>
      <c r="F42"/>
      <c r="G42"/>
      <c r="H42"/>
      <c r="I42"/>
      <c r="J42"/>
      <c r="K42"/>
      <c r="L42"/>
      <c r="M42"/>
      <c r="N42"/>
      <c r="O42"/>
      <c r="T42" s="244"/>
    </row>
    <row r="43" spans="1:20" ht="15" customHeight="1" x14ac:dyDescent="0.25">
      <c r="A43" s="251"/>
      <c r="B43" s="225"/>
      <c r="C43" s="253" t="s">
        <v>314</v>
      </c>
      <c r="D43" s="253"/>
      <c r="E43"/>
      <c r="F43"/>
      <c r="G43"/>
      <c r="H43"/>
      <c r="I43"/>
      <c r="J43"/>
      <c r="K43"/>
      <c r="L43"/>
      <c r="M43"/>
      <c r="N43"/>
      <c r="O43"/>
      <c r="T43" s="244"/>
    </row>
    <row r="44" spans="1:20" ht="15" customHeight="1" x14ac:dyDescent="0.25">
      <c r="A44" s="251"/>
      <c r="B44" s="225"/>
      <c r="C44" s="253"/>
      <c r="D44" s="253"/>
      <c r="E44"/>
      <c r="F44"/>
      <c r="G44"/>
      <c r="H44"/>
      <c r="I44"/>
      <c r="J44"/>
      <c r="K44"/>
      <c r="L44"/>
      <c r="M44"/>
      <c r="N44"/>
      <c r="O44"/>
      <c r="T44" s="244"/>
    </row>
    <row r="45" spans="1:20" ht="15" customHeight="1" x14ac:dyDescent="0.25">
      <c r="A45" s="251" t="s">
        <v>468</v>
      </c>
      <c r="B45" s="225"/>
      <c r="C45" s="253"/>
      <c r="D45" s="253"/>
      <c r="E45"/>
      <c r="F45"/>
      <c r="G45"/>
      <c r="H45"/>
      <c r="I45"/>
      <c r="J45"/>
      <c r="K45"/>
      <c r="L45"/>
      <c r="M45"/>
      <c r="N45"/>
      <c r="O45"/>
      <c r="T45" s="244"/>
    </row>
    <row r="46" spans="1:20" ht="15" customHeight="1" thickBot="1" x14ac:dyDescent="0.3">
      <c r="A46" s="251"/>
      <c r="B46" s="225"/>
      <c r="C46" s="253"/>
      <c r="D46" s="253"/>
      <c r="E46"/>
      <c r="F46"/>
      <c r="G46"/>
      <c r="H46"/>
      <c r="I46"/>
      <c r="J46"/>
      <c r="K46"/>
      <c r="L46"/>
      <c r="M46"/>
      <c r="N46"/>
      <c r="O46"/>
      <c r="R46" s="245" t="str">
        <f>IF(CPMR!B27=0, "n/a", Questionnaire!R48)</f>
        <v xml:space="preserve">Compliant </v>
      </c>
      <c r="T46" s="244"/>
    </row>
    <row r="47" spans="1:20" ht="15" customHeight="1" thickBot="1" x14ac:dyDescent="0.3">
      <c r="A47" s="251"/>
      <c r="B47" s="354" t="s">
        <v>641</v>
      </c>
      <c r="C47" s="253" t="s">
        <v>298</v>
      </c>
      <c r="D47" s="253"/>
      <c r="E47"/>
      <c r="F47"/>
      <c r="G47"/>
      <c r="H47"/>
      <c r="I47"/>
      <c r="J47"/>
      <c r="K47"/>
      <c r="L47"/>
      <c r="M47"/>
      <c r="N47"/>
      <c r="O47"/>
      <c r="T47" s="244"/>
    </row>
    <row r="48" spans="1:20" ht="15" customHeight="1" thickBot="1" x14ac:dyDescent="0.3">
      <c r="A48" s="251"/>
      <c r="B48" s="225"/>
      <c r="C48" s="253"/>
      <c r="D48" s="253"/>
      <c r="E48"/>
      <c r="F48"/>
      <c r="G48"/>
      <c r="H48"/>
      <c r="I48"/>
      <c r="J48"/>
      <c r="K48"/>
      <c r="L48"/>
      <c r="M48"/>
      <c r="N48"/>
      <c r="O48"/>
      <c r="R48" s="245" t="str">
        <f>IF(COUNTA(B47:B54)=4,criteria!I18,criteria!C18)</f>
        <v xml:space="preserve">Compliant </v>
      </c>
      <c r="T48" s="244"/>
    </row>
    <row r="49" spans="1:20" ht="15" customHeight="1" thickBot="1" x14ac:dyDescent="0.3">
      <c r="A49" s="251"/>
      <c r="B49" s="354" t="s">
        <v>641</v>
      </c>
      <c r="C49" s="253" t="s">
        <v>299</v>
      </c>
      <c r="D49" s="253"/>
      <c r="E49"/>
      <c r="F49"/>
      <c r="G49"/>
      <c r="H49"/>
      <c r="I49"/>
      <c r="J49"/>
      <c r="K49"/>
      <c r="L49"/>
      <c r="M49"/>
      <c r="N49"/>
      <c r="O49"/>
      <c r="T49" s="244"/>
    </row>
    <row r="50" spans="1:20" ht="15" customHeight="1" x14ac:dyDescent="0.25">
      <c r="A50" s="251"/>
      <c r="B50" s="225"/>
      <c r="C50" s="253" t="s">
        <v>300</v>
      </c>
      <c r="D50" s="253"/>
      <c r="E50"/>
      <c r="F50"/>
      <c r="G50"/>
      <c r="H50"/>
      <c r="I50"/>
      <c r="J50"/>
      <c r="K50"/>
      <c r="L50"/>
      <c r="M50"/>
      <c r="N50"/>
      <c r="O50"/>
      <c r="T50" s="244"/>
    </row>
    <row r="51" spans="1:20" ht="15" customHeight="1" thickBot="1" x14ac:dyDescent="0.3">
      <c r="A51" s="251"/>
      <c r="B51" s="225"/>
      <c r="C51" s="253"/>
      <c r="D51" s="253"/>
      <c r="E51"/>
      <c r="F51"/>
      <c r="G51"/>
      <c r="H51"/>
      <c r="I51"/>
      <c r="J51"/>
      <c r="K51"/>
      <c r="L51"/>
      <c r="M51"/>
      <c r="N51"/>
      <c r="O51"/>
      <c r="T51" s="244"/>
    </row>
    <row r="52" spans="1:20" ht="15" customHeight="1" thickBot="1" x14ac:dyDescent="0.3">
      <c r="A52" s="251"/>
      <c r="B52" s="354" t="s">
        <v>641</v>
      </c>
      <c r="C52" s="253" t="s">
        <v>301</v>
      </c>
      <c r="D52" s="253"/>
      <c r="E52"/>
      <c r="F52"/>
      <c r="G52"/>
      <c r="H52"/>
      <c r="I52"/>
      <c r="J52"/>
      <c r="K52"/>
      <c r="L52"/>
      <c r="M52"/>
      <c r="N52"/>
      <c r="O52"/>
      <c r="T52" s="244"/>
    </row>
    <row r="53" spans="1:20" ht="15" customHeight="1" thickBot="1" x14ac:dyDescent="0.3">
      <c r="A53" s="251"/>
      <c r="B53" s="225"/>
      <c r="C53" s="253"/>
      <c r="D53" s="253"/>
      <c r="E53"/>
      <c r="F53"/>
      <c r="G53"/>
      <c r="H53"/>
      <c r="I53"/>
      <c r="J53"/>
      <c r="K53"/>
      <c r="L53"/>
      <c r="M53"/>
      <c r="N53"/>
      <c r="O53"/>
      <c r="T53" s="244"/>
    </row>
    <row r="54" spans="1:20" ht="15" customHeight="1" thickBot="1" x14ac:dyDescent="0.3">
      <c r="A54" s="251"/>
      <c r="B54" s="354" t="s">
        <v>641</v>
      </c>
      <c r="C54" s="253" t="s">
        <v>302</v>
      </c>
      <c r="D54" s="253"/>
      <c r="E54"/>
      <c r="F54"/>
      <c r="G54"/>
      <c r="H54"/>
      <c r="I54"/>
      <c r="J54"/>
      <c r="K54"/>
      <c r="L54"/>
      <c r="M54"/>
      <c r="N54"/>
      <c r="O54"/>
      <c r="T54" s="244"/>
    </row>
    <row r="55" spans="1:20" ht="15" customHeight="1" x14ac:dyDescent="0.25">
      <c r="A55" s="251"/>
      <c r="B55" s="225"/>
      <c r="C55" s="253" t="s">
        <v>303</v>
      </c>
      <c r="D55" s="253"/>
      <c r="E55"/>
      <c r="F55"/>
      <c r="G55"/>
      <c r="H55"/>
      <c r="I55"/>
      <c r="J55"/>
      <c r="K55"/>
      <c r="L55"/>
      <c r="M55"/>
      <c r="N55"/>
      <c r="O55"/>
      <c r="T55" s="244"/>
    </row>
    <row r="56" spans="1:20" ht="15" customHeight="1" x14ac:dyDescent="0.25">
      <c r="A56" s="251"/>
      <c r="B56" s="225"/>
      <c r="C56" s="253" t="s">
        <v>304</v>
      </c>
      <c r="D56" s="253"/>
      <c r="E56"/>
      <c r="F56"/>
      <c r="G56"/>
      <c r="H56"/>
      <c r="I56"/>
      <c r="J56"/>
      <c r="K56"/>
      <c r="L56"/>
      <c r="M56"/>
      <c r="N56"/>
      <c r="O56"/>
      <c r="T56" s="244"/>
    </row>
    <row r="57" spans="1:20" ht="15" customHeight="1" x14ac:dyDescent="0.25">
      <c r="A57" s="251"/>
      <c r="B57" s="225"/>
      <c r="C57" s="253"/>
      <c r="D57" s="253"/>
      <c r="E57"/>
      <c r="F57"/>
      <c r="G57"/>
      <c r="H57"/>
      <c r="I57"/>
      <c r="J57"/>
      <c r="K57"/>
      <c r="L57"/>
      <c r="M57"/>
      <c r="N57"/>
      <c r="O57"/>
      <c r="T57" s="244"/>
    </row>
    <row r="58" spans="1:20" x14ac:dyDescent="0.25">
      <c r="A58" s="255" t="s">
        <v>387</v>
      </c>
      <c r="B58" s="225"/>
      <c r="C58" s="253"/>
      <c r="D58" s="253"/>
      <c r="E58"/>
      <c r="F58"/>
      <c r="G58"/>
      <c r="H58"/>
      <c r="I58"/>
      <c r="J58"/>
      <c r="K58"/>
      <c r="L58"/>
      <c r="M58"/>
      <c r="N58"/>
      <c r="O58"/>
      <c r="T58" s="244"/>
    </row>
    <row r="59" spans="1:20" ht="15" customHeight="1" thickBot="1" x14ac:dyDescent="0.3">
      <c r="A59" s="251"/>
      <c r="B59" s="225"/>
      <c r="C59" s="253"/>
      <c r="D59" s="253"/>
      <c r="E59"/>
      <c r="F59"/>
      <c r="G59"/>
      <c r="H59"/>
      <c r="I59"/>
      <c r="J59"/>
      <c r="K59"/>
      <c r="L59"/>
      <c r="M59"/>
      <c r="N59"/>
      <c r="O59"/>
      <c r="R59" s="246" t="str">
        <f>IF(CPMR!B17=0, "n/a",IF(R66=3,criteria!I24,IF(AND(R60=1,R66=2),criteria!G24,IF(AND(R60=1,R66=1),criteria!E24,criteria!C24))))</f>
        <v xml:space="preserve">Fully Compliant </v>
      </c>
      <c r="T59" s="244"/>
    </row>
    <row r="60" spans="1:20" ht="15" customHeight="1" thickBot="1" x14ac:dyDescent="0.3">
      <c r="A60" s="251"/>
      <c r="B60" s="354" t="s">
        <v>641</v>
      </c>
      <c r="C60" s="253" t="s">
        <v>167</v>
      </c>
      <c r="D60" s="253"/>
      <c r="E60"/>
      <c r="F60"/>
      <c r="G60"/>
      <c r="H60"/>
      <c r="I60"/>
      <c r="J60"/>
      <c r="K60"/>
      <c r="L60"/>
      <c r="M60"/>
      <c r="N60"/>
      <c r="O60"/>
      <c r="R60" s="245">
        <f>IF(COUNTA(B60)=1,1,0)</f>
        <v>1</v>
      </c>
      <c r="T60" s="244"/>
    </row>
    <row r="61" spans="1:20" ht="15" customHeight="1" x14ac:dyDescent="0.25">
      <c r="A61" s="251"/>
      <c r="B61" s="225"/>
      <c r="C61" s="253" t="s">
        <v>168</v>
      </c>
      <c r="D61" s="253"/>
      <c r="E61"/>
      <c r="F61"/>
      <c r="G61"/>
      <c r="H61"/>
      <c r="I61"/>
      <c r="J61"/>
      <c r="K61"/>
      <c r="L61"/>
      <c r="M61"/>
      <c r="N61"/>
      <c r="O61"/>
      <c r="T61" s="244"/>
    </row>
    <row r="62" spans="1:20" ht="15" customHeight="1" thickBot="1" x14ac:dyDescent="0.3">
      <c r="A62" s="251"/>
      <c r="B62" s="225"/>
      <c r="C62" s="253"/>
      <c r="D62" s="253"/>
      <c r="E62"/>
      <c r="F62"/>
      <c r="G62"/>
      <c r="H62"/>
      <c r="I62"/>
      <c r="J62"/>
      <c r="K62"/>
      <c r="L62"/>
      <c r="M62"/>
      <c r="N62"/>
      <c r="O62"/>
      <c r="T62" s="244"/>
    </row>
    <row r="63" spans="1:20" ht="15" customHeight="1" thickBot="1" x14ac:dyDescent="0.3">
      <c r="A63" s="251"/>
      <c r="B63" s="354" t="s">
        <v>641</v>
      </c>
      <c r="C63" s="253" t="s">
        <v>169</v>
      </c>
      <c r="D63" s="253"/>
      <c r="E63"/>
      <c r="F63"/>
      <c r="G63"/>
      <c r="H63"/>
      <c r="I63"/>
      <c r="J63"/>
      <c r="K63"/>
      <c r="L63"/>
      <c r="M63"/>
      <c r="N63"/>
      <c r="O63"/>
      <c r="R63" s="245">
        <f>IF(COUNTA(B63)=1,1,0)</f>
        <v>1</v>
      </c>
      <c r="T63" s="244"/>
    </row>
    <row r="64" spans="1:20" ht="15" customHeight="1" thickBot="1" x14ac:dyDescent="0.3">
      <c r="A64" s="251"/>
      <c r="B64" s="225"/>
      <c r="C64" s="253"/>
      <c r="D64" s="253"/>
      <c r="E64"/>
      <c r="F64"/>
      <c r="G64"/>
      <c r="H64"/>
      <c r="I64"/>
      <c r="J64"/>
      <c r="K64"/>
      <c r="L64"/>
      <c r="M64"/>
      <c r="N64"/>
      <c r="O64"/>
      <c r="T64" s="244"/>
    </row>
    <row r="65" spans="1:20" ht="15" customHeight="1" thickBot="1" x14ac:dyDescent="0.3">
      <c r="A65" s="251"/>
      <c r="B65" s="354" t="s">
        <v>641</v>
      </c>
      <c r="C65" s="253" t="s">
        <v>615</v>
      </c>
      <c r="D65" s="253"/>
      <c r="E65"/>
      <c r="F65"/>
      <c r="G65"/>
      <c r="H65"/>
      <c r="I65"/>
      <c r="J65"/>
      <c r="K65"/>
      <c r="L65"/>
      <c r="M65"/>
      <c r="N65"/>
      <c r="O65"/>
      <c r="R65" s="245">
        <f>IF(COUNTA(B65)=1,1,0)</f>
        <v>1</v>
      </c>
      <c r="T65" s="244"/>
    </row>
    <row r="66" spans="1:20" ht="15" customHeight="1" x14ac:dyDescent="0.25">
      <c r="A66" s="251"/>
      <c r="B66" s="225"/>
      <c r="C66" s="253"/>
      <c r="D66" s="253"/>
      <c r="E66"/>
      <c r="F66"/>
      <c r="G66"/>
      <c r="H66"/>
      <c r="I66"/>
      <c r="J66"/>
      <c r="K66"/>
      <c r="L66"/>
      <c r="M66"/>
      <c r="N66"/>
      <c r="O66"/>
      <c r="R66" s="245">
        <f>SUM(R60:R65)</f>
        <v>3</v>
      </c>
      <c r="T66" s="244"/>
    </row>
    <row r="67" spans="1:20" ht="15" customHeight="1" x14ac:dyDescent="0.25">
      <c r="A67" s="251" t="s">
        <v>388</v>
      </c>
      <c r="B67" s="225"/>
      <c r="C67" s="253"/>
      <c r="D67" s="253"/>
      <c r="E67"/>
      <c r="F67"/>
      <c r="G67"/>
      <c r="H67"/>
      <c r="I67"/>
      <c r="J67"/>
      <c r="K67"/>
      <c r="L67"/>
      <c r="M67"/>
      <c r="N67"/>
      <c r="O67"/>
      <c r="T67" s="244"/>
    </row>
    <row r="68" spans="1:20" ht="15" customHeight="1" x14ac:dyDescent="0.25">
      <c r="A68" s="251" t="s">
        <v>349</v>
      </c>
      <c r="B68" s="225"/>
      <c r="C68" s="253"/>
      <c r="D68" s="253"/>
      <c r="E68"/>
      <c r="F68"/>
      <c r="G68"/>
      <c r="H68"/>
      <c r="I68"/>
      <c r="J68"/>
      <c r="K68"/>
      <c r="L68"/>
      <c r="M68"/>
      <c r="N68"/>
      <c r="O68"/>
      <c r="R68" s="245" t="str">
        <f>IF(COUNTA(B70:B76)=3, criteria!I25, IF(COUNTA(B70:B76)=2,criteria!G25,IF(COUNTA(B70:B76)=1,criteria!E25,criteria!C25)))</f>
        <v xml:space="preserve">Fully Compliant </v>
      </c>
      <c r="T68" s="244"/>
    </row>
    <row r="69" spans="1:20" ht="15" customHeight="1" thickBot="1" x14ac:dyDescent="0.3">
      <c r="A69" s="251"/>
      <c r="B69" s="225"/>
      <c r="C69" s="253"/>
      <c r="D69" s="253"/>
      <c r="E69"/>
      <c r="F69"/>
      <c r="G69"/>
      <c r="H69"/>
      <c r="I69"/>
      <c r="J69"/>
      <c r="K69"/>
      <c r="L69"/>
      <c r="M69"/>
      <c r="N69"/>
      <c r="O69"/>
      <c r="T69" s="244"/>
    </row>
    <row r="70" spans="1:20" ht="15" customHeight="1" thickBot="1" x14ac:dyDescent="0.3">
      <c r="A70" s="251"/>
      <c r="B70" s="354" t="s">
        <v>641</v>
      </c>
      <c r="C70" s="253" t="s">
        <v>325</v>
      </c>
      <c r="D70" s="253"/>
      <c r="E70"/>
      <c r="F70"/>
      <c r="G70"/>
      <c r="H70"/>
      <c r="I70"/>
      <c r="J70"/>
      <c r="K70"/>
      <c r="L70"/>
      <c r="M70"/>
      <c r="N70"/>
      <c r="O70"/>
      <c r="T70" s="244"/>
    </row>
    <row r="71" spans="1:20" ht="15" customHeight="1" x14ac:dyDescent="0.25">
      <c r="A71" s="251"/>
      <c r="B71" s="225"/>
      <c r="C71" s="253" t="s">
        <v>326</v>
      </c>
      <c r="D71" s="253"/>
      <c r="E71"/>
      <c r="F71"/>
      <c r="G71"/>
      <c r="H71"/>
      <c r="I71"/>
      <c r="J71"/>
      <c r="K71"/>
      <c r="L71"/>
      <c r="M71"/>
      <c r="N71"/>
      <c r="O71"/>
      <c r="T71" s="244"/>
    </row>
    <row r="72" spans="1:20" ht="15" customHeight="1" x14ac:dyDescent="0.25">
      <c r="A72" s="251"/>
      <c r="B72" s="225"/>
      <c r="C72" s="253" t="s">
        <v>327</v>
      </c>
      <c r="D72" s="253"/>
      <c r="E72"/>
      <c r="F72"/>
      <c r="G72"/>
      <c r="H72"/>
      <c r="I72"/>
      <c r="J72"/>
      <c r="K72"/>
      <c r="L72"/>
      <c r="M72"/>
      <c r="N72"/>
      <c r="O72"/>
      <c r="T72" s="244"/>
    </row>
    <row r="73" spans="1:20" ht="15" customHeight="1" thickBot="1" x14ac:dyDescent="0.3">
      <c r="A73" s="251"/>
      <c r="B73" s="225"/>
      <c r="C73" s="253"/>
      <c r="D73" s="253"/>
      <c r="E73"/>
      <c r="F73"/>
      <c r="G73"/>
      <c r="H73"/>
      <c r="I73"/>
      <c r="J73"/>
      <c r="K73"/>
      <c r="L73"/>
      <c r="M73"/>
      <c r="N73"/>
      <c r="O73"/>
      <c r="T73" s="244"/>
    </row>
    <row r="74" spans="1:20" ht="15" customHeight="1" thickBot="1" x14ac:dyDescent="0.3">
      <c r="A74" s="251"/>
      <c r="B74" s="354" t="s">
        <v>641</v>
      </c>
      <c r="C74" s="253" t="s">
        <v>328</v>
      </c>
      <c r="D74" s="253"/>
      <c r="E74"/>
      <c r="F74"/>
      <c r="G74"/>
      <c r="H74"/>
      <c r="I74"/>
      <c r="J74"/>
      <c r="K74"/>
      <c r="L74"/>
      <c r="M74"/>
      <c r="N74"/>
      <c r="O74"/>
      <c r="T74" s="244"/>
    </row>
    <row r="75" spans="1:20" ht="15" customHeight="1" thickBot="1" x14ac:dyDescent="0.3">
      <c r="A75" s="251"/>
      <c r="B75" s="225"/>
      <c r="C75" s="253"/>
      <c r="D75" s="253"/>
      <c r="E75"/>
      <c r="F75"/>
      <c r="G75"/>
      <c r="H75"/>
      <c r="I75"/>
      <c r="J75"/>
      <c r="K75"/>
      <c r="L75"/>
      <c r="M75"/>
      <c r="N75"/>
      <c r="O75"/>
      <c r="T75" s="244"/>
    </row>
    <row r="76" spans="1:20" ht="15" customHeight="1" thickBot="1" x14ac:dyDescent="0.3">
      <c r="A76" s="251"/>
      <c r="B76" s="354" t="s">
        <v>641</v>
      </c>
      <c r="C76" s="253" t="s">
        <v>329</v>
      </c>
      <c r="D76" s="253"/>
      <c r="E76"/>
      <c r="F76"/>
      <c r="G76"/>
      <c r="H76"/>
      <c r="I76"/>
      <c r="J76"/>
      <c r="K76"/>
      <c r="L76"/>
      <c r="M76"/>
      <c r="N76"/>
      <c r="O76"/>
      <c r="T76" s="244"/>
    </row>
    <row r="77" spans="1:20" ht="15" customHeight="1" x14ac:dyDescent="0.25">
      <c r="A77" s="251"/>
      <c r="B77" s="225"/>
      <c r="C77" s="253" t="s">
        <v>330</v>
      </c>
      <c r="D77" s="253"/>
      <c r="E77"/>
      <c r="F77"/>
      <c r="G77"/>
      <c r="H77"/>
      <c r="I77"/>
      <c r="J77"/>
      <c r="K77"/>
      <c r="L77"/>
      <c r="M77"/>
      <c r="N77"/>
      <c r="O77"/>
      <c r="T77" s="244"/>
    </row>
    <row r="78" spans="1:20" ht="15" customHeight="1" x14ac:dyDescent="0.25">
      <c r="A78" s="251"/>
      <c r="B78" s="225"/>
      <c r="C78" s="253"/>
      <c r="D78" s="253"/>
      <c r="E78"/>
      <c r="F78"/>
      <c r="G78"/>
      <c r="H78"/>
      <c r="I78"/>
      <c r="J78"/>
      <c r="K78"/>
      <c r="L78"/>
      <c r="M78"/>
      <c r="N78"/>
      <c r="O78"/>
      <c r="T78" s="244"/>
    </row>
    <row r="79" spans="1:20" x14ac:dyDescent="0.25">
      <c r="A79" s="251" t="s">
        <v>389</v>
      </c>
      <c r="B79" s="225"/>
      <c r="C79" s="253"/>
      <c r="D79" s="253"/>
      <c r="E79"/>
      <c r="F79"/>
      <c r="G79"/>
      <c r="H79"/>
      <c r="I79"/>
      <c r="J79"/>
      <c r="K79"/>
      <c r="L79"/>
      <c r="M79"/>
      <c r="N79"/>
      <c r="O79"/>
      <c r="T79" s="244"/>
    </row>
    <row r="80" spans="1:20" x14ac:dyDescent="0.25">
      <c r="A80" s="251"/>
      <c r="B80" s="225"/>
      <c r="C80" s="253"/>
      <c r="D80" s="253"/>
      <c r="E80"/>
      <c r="F80"/>
      <c r="G80"/>
      <c r="H80"/>
      <c r="I80"/>
      <c r="J80"/>
      <c r="K80"/>
      <c r="L80"/>
      <c r="M80"/>
      <c r="N80"/>
      <c r="O80"/>
      <c r="T80" s="244"/>
    </row>
    <row r="81" spans="1:20" x14ac:dyDescent="0.25">
      <c r="A81" s="256" t="s">
        <v>170</v>
      </c>
      <c r="B81" s="225"/>
      <c r="C81" s="253"/>
      <c r="D81" s="253"/>
      <c r="E81"/>
      <c r="F81"/>
      <c r="G81"/>
      <c r="H81"/>
      <c r="I81"/>
      <c r="J81"/>
      <c r="K81"/>
      <c r="L81"/>
      <c r="M81"/>
      <c r="N81"/>
      <c r="O81"/>
      <c r="T81" s="244"/>
    </row>
    <row r="82" spans="1:20" ht="15" customHeight="1" thickBot="1" x14ac:dyDescent="0.3">
      <c r="A82" s="251"/>
      <c r="B82" s="225"/>
      <c r="C82" s="253"/>
      <c r="D82" s="253"/>
      <c r="E82"/>
      <c r="F82"/>
      <c r="G82"/>
      <c r="H82"/>
      <c r="I82"/>
      <c r="J82"/>
      <c r="K82"/>
      <c r="L82"/>
      <c r="M82"/>
      <c r="N82"/>
      <c r="O82"/>
      <c r="R82" s="246" t="str">
        <f>IF(R100=4,criteria!I30,IF(AND(R100=3,R99=0),criteria!G30,IF(AND(R100&lt;3,R83=1),criteria!E30,criteria!C30)))</f>
        <v xml:space="preserve">Fully Compliant </v>
      </c>
      <c r="T82" s="244"/>
    </row>
    <row r="83" spans="1:20" ht="15" customHeight="1" thickBot="1" x14ac:dyDescent="0.3">
      <c r="A83" s="251"/>
      <c r="B83" s="354" t="s">
        <v>641</v>
      </c>
      <c r="C83" s="253" t="s">
        <v>449</v>
      </c>
      <c r="D83" s="253"/>
      <c r="E83"/>
      <c r="F83"/>
      <c r="G83"/>
      <c r="H83"/>
      <c r="I83"/>
      <c r="J83"/>
      <c r="K83"/>
      <c r="L83"/>
      <c r="M83"/>
      <c r="N83"/>
      <c r="O83"/>
      <c r="R83" s="245">
        <f>IF(COUNTA(B83,G84)=2,1,0)</f>
        <v>1</v>
      </c>
      <c r="T83" s="244"/>
    </row>
    <row r="84" spans="1:20" ht="15" customHeight="1" x14ac:dyDescent="0.25">
      <c r="A84" s="251"/>
      <c r="B84" s="225"/>
      <c r="C84" s="257" t="s">
        <v>509</v>
      </c>
      <c r="D84" s="253"/>
      <c r="E84"/>
      <c r="F84"/>
      <c r="G84" s="336" t="s">
        <v>647</v>
      </c>
      <c r="H84" s="336"/>
      <c r="I84" s="336"/>
      <c r="J84" s="336"/>
      <c r="K84" s="336"/>
      <c r="L84" s="336"/>
      <c r="M84" s="336"/>
      <c r="N84"/>
      <c r="O84"/>
      <c r="T84" s="244"/>
    </row>
    <row r="85" spans="1:20" ht="15" customHeight="1" thickBot="1" x14ac:dyDescent="0.3">
      <c r="A85" s="251"/>
      <c r="B85" s="225"/>
      <c r="C85" s="253"/>
      <c r="D85" s="253"/>
      <c r="E85"/>
      <c r="F85"/>
      <c r="G85"/>
      <c r="H85"/>
      <c r="I85"/>
      <c r="J85"/>
      <c r="K85"/>
      <c r="L85"/>
      <c r="M85"/>
      <c r="N85"/>
      <c r="O85"/>
      <c r="T85" s="244"/>
    </row>
    <row r="86" spans="1:20" ht="15" customHeight="1" thickBot="1" x14ac:dyDescent="0.3">
      <c r="A86" s="251"/>
      <c r="B86" s="354" t="s">
        <v>641</v>
      </c>
      <c r="C86" s="253" t="s">
        <v>450</v>
      </c>
      <c r="D86" s="253"/>
      <c r="E86"/>
      <c r="F86"/>
      <c r="G86"/>
      <c r="H86"/>
      <c r="I86"/>
      <c r="J86"/>
      <c r="K86"/>
      <c r="L86"/>
      <c r="M86"/>
      <c r="N86"/>
      <c r="O86"/>
      <c r="R86" s="245">
        <f>IF(COUNTA(C89:F95)&gt;4,1,0)</f>
        <v>1</v>
      </c>
      <c r="T86" s="244"/>
    </row>
    <row r="87" spans="1:20" ht="15" customHeight="1" x14ac:dyDescent="0.25">
      <c r="A87" s="251"/>
      <c r="B87" s="225"/>
      <c r="C87" s="253" t="s">
        <v>508</v>
      </c>
      <c r="D87" s="253"/>
      <c r="E87"/>
      <c r="F87"/>
      <c r="G87"/>
      <c r="H87"/>
      <c r="I87"/>
      <c r="J87"/>
      <c r="K87"/>
      <c r="L87"/>
      <c r="M87"/>
      <c r="N87"/>
      <c r="O87"/>
      <c r="T87" s="244"/>
    </row>
    <row r="88" spans="1:20" ht="15" customHeight="1" x14ac:dyDescent="0.25">
      <c r="A88" s="251"/>
      <c r="B88" s="225"/>
      <c r="C88" s="253"/>
      <c r="D88" s="253" t="s">
        <v>452</v>
      </c>
      <c r="E88"/>
      <c r="F88"/>
      <c r="G88"/>
      <c r="H88" t="s">
        <v>456</v>
      </c>
      <c r="I88"/>
      <c r="J88"/>
      <c r="K88"/>
      <c r="L88"/>
      <c r="M88"/>
      <c r="N88"/>
      <c r="O88"/>
      <c r="T88" s="244"/>
    </row>
    <row r="89" spans="1:20" ht="15" customHeight="1" x14ac:dyDescent="0.25">
      <c r="A89" s="251"/>
      <c r="B89" s="224" t="s">
        <v>475</v>
      </c>
      <c r="C89" s="335" t="s">
        <v>642</v>
      </c>
      <c r="D89" s="335"/>
      <c r="E89" s="335"/>
      <c r="F89" s="335"/>
      <c r="G89"/>
      <c r="H89" s="380" t="s">
        <v>664</v>
      </c>
      <c r="I89" s="380"/>
      <c r="J89" s="380"/>
      <c r="K89"/>
      <c r="L89"/>
      <c r="M89"/>
      <c r="N89"/>
      <c r="O89"/>
      <c r="T89" s="244"/>
    </row>
    <row r="90" spans="1:20" ht="15" customHeight="1" x14ac:dyDescent="0.25">
      <c r="A90" s="251"/>
      <c r="B90" s="224" t="s">
        <v>476</v>
      </c>
      <c r="C90" s="335" t="s">
        <v>639</v>
      </c>
      <c r="D90" s="335"/>
      <c r="E90" s="335"/>
      <c r="F90" s="335"/>
      <c r="G90"/>
      <c r="H90" s="380" t="s">
        <v>665</v>
      </c>
      <c r="I90" s="380"/>
      <c r="J90" s="380"/>
      <c r="K90"/>
      <c r="L90"/>
      <c r="M90"/>
      <c r="N90"/>
      <c r="O90"/>
      <c r="T90" s="244"/>
    </row>
    <row r="91" spans="1:20" ht="15" customHeight="1" x14ac:dyDescent="0.25">
      <c r="A91" s="251"/>
      <c r="B91" s="224" t="s">
        <v>477</v>
      </c>
      <c r="C91" s="351" t="s">
        <v>644</v>
      </c>
      <c r="D91" s="351"/>
      <c r="E91" s="351"/>
      <c r="F91" s="351"/>
      <c r="G91"/>
      <c r="H91" s="380" t="s">
        <v>666</v>
      </c>
      <c r="I91" s="380"/>
      <c r="J91" s="380"/>
      <c r="K91"/>
      <c r="L91"/>
      <c r="M91"/>
      <c r="N91"/>
      <c r="O91"/>
      <c r="T91" s="244"/>
    </row>
    <row r="92" spans="1:20" ht="15" customHeight="1" x14ac:dyDescent="0.25">
      <c r="A92" s="251"/>
      <c r="B92" s="224" t="s">
        <v>478</v>
      </c>
      <c r="C92" s="351" t="s">
        <v>643</v>
      </c>
      <c r="D92" s="351"/>
      <c r="E92" s="351"/>
      <c r="F92" s="351"/>
      <c r="G92"/>
      <c r="H92" s="380" t="s">
        <v>664</v>
      </c>
      <c r="I92" s="380"/>
      <c r="J92" s="380"/>
      <c r="K92"/>
      <c r="L92"/>
      <c r="M92"/>
      <c r="N92"/>
      <c r="O92"/>
      <c r="T92" s="244"/>
    </row>
    <row r="93" spans="1:20" ht="15" customHeight="1" x14ac:dyDescent="0.25">
      <c r="A93" s="251"/>
      <c r="B93" s="224" t="s">
        <v>479</v>
      </c>
      <c r="C93" s="335" t="s">
        <v>645</v>
      </c>
      <c r="D93" s="335"/>
      <c r="E93" s="335"/>
      <c r="F93" s="335"/>
      <c r="G93"/>
      <c r="H93" s="381" t="s">
        <v>664</v>
      </c>
      <c r="I93" s="381"/>
      <c r="J93" s="381"/>
      <c r="K93"/>
      <c r="L93"/>
      <c r="M93"/>
      <c r="N93"/>
      <c r="O93"/>
      <c r="T93" s="244"/>
    </row>
    <row r="94" spans="1:20" ht="15" customHeight="1" x14ac:dyDescent="0.25">
      <c r="A94" s="251"/>
      <c r="B94" s="224" t="s">
        <v>480</v>
      </c>
      <c r="C94" s="379" t="s">
        <v>688</v>
      </c>
      <c r="D94" s="379"/>
      <c r="E94" s="379"/>
      <c r="F94" s="379"/>
      <c r="G94"/>
      <c r="H94" s="381" t="s">
        <v>664</v>
      </c>
      <c r="I94" s="381"/>
      <c r="J94" s="381"/>
      <c r="K94"/>
      <c r="L94"/>
      <c r="M94"/>
      <c r="N94"/>
      <c r="O94"/>
      <c r="T94" s="244"/>
    </row>
    <row r="95" spans="1:20" ht="15" customHeight="1" x14ac:dyDescent="0.25">
      <c r="A95" s="251"/>
      <c r="B95" s="224" t="s">
        <v>481</v>
      </c>
      <c r="C95" s="379" t="s">
        <v>652</v>
      </c>
      <c r="D95" s="379"/>
      <c r="E95" s="379"/>
      <c r="F95" s="379"/>
      <c r="G95"/>
      <c r="H95" s="381" t="s">
        <v>664</v>
      </c>
      <c r="I95" s="381"/>
      <c r="J95" s="381"/>
      <c r="K95"/>
      <c r="L95"/>
      <c r="M95"/>
      <c r="N95"/>
      <c r="O95"/>
      <c r="T95" s="244"/>
    </row>
    <row r="96" spans="1:20" ht="15" customHeight="1" thickBot="1" x14ac:dyDescent="0.3">
      <c r="A96" s="251"/>
      <c r="B96" s="225"/>
      <c r="C96" s="253"/>
      <c r="D96" s="253"/>
      <c r="E96"/>
      <c r="F96"/>
      <c r="G96"/>
      <c r="H96"/>
      <c r="I96"/>
      <c r="J96"/>
      <c r="K96"/>
      <c r="L96"/>
      <c r="M96"/>
      <c r="N96"/>
      <c r="O96"/>
      <c r="T96" s="244"/>
    </row>
    <row r="97" spans="1:20" ht="15" customHeight="1" thickBot="1" x14ac:dyDescent="0.3">
      <c r="A97" s="251"/>
      <c r="B97" s="354" t="s">
        <v>641</v>
      </c>
      <c r="C97" s="253" t="s">
        <v>451</v>
      </c>
      <c r="D97" s="253"/>
      <c r="E97"/>
      <c r="F97"/>
      <c r="G97"/>
      <c r="H97"/>
      <c r="I97"/>
      <c r="J97"/>
      <c r="K97"/>
      <c r="L97"/>
      <c r="M97"/>
      <c r="N97"/>
      <c r="O97"/>
      <c r="R97" s="245">
        <f>IF(COUNTA(B97)=1,1,0)</f>
        <v>1</v>
      </c>
      <c r="T97" s="244"/>
    </row>
    <row r="98" spans="1:20" ht="15" customHeight="1" thickBot="1" x14ac:dyDescent="0.3">
      <c r="A98" s="251"/>
      <c r="B98" s="225"/>
      <c r="C98" s="253"/>
      <c r="D98" s="253"/>
      <c r="E98"/>
      <c r="F98"/>
      <c r="G98"/>
      <c r="H98"/>
      <c r="I98"/>
      <c r="J98"/>
      <c r="K98"/>
      <c r="L98"/>
      <c r="M98"/>
      <c r="N98"/>
      <c r="O98"/>
      <c r="T98" s="244"/>
    </row>
    <row r="99" spans="1:20" ht="15" customHeight="1" thickBot="1" x14ac:dyDescent="0.3">
      <c r="A99" s="251"/>
      <c r="B99" s="354" t="s">
        <v>641</v>
      </c>
      <c r="C99" s="253" t="s">
        <v>171</v>
      </c>
      <c r="D99" s="253"/>
      <c r="E99"/>
      <c r="F99"/>
      <c r="G99"/>
      <c r="H99"/>
      <c r="I99"/>
      <c r="J99"/>
      <c r="K99"/>
      <c r="L99"/>
      <c r="M99"/>
      <c r="N99"/>
      <c r="O99"/>
      <c r="R99" s="245">
        <f>IF(COUNTA(H89:J95)&gt;4,1,0)</f>
        <v>1</v>
      </c>
      <c r="T99" s="244"/>
    </row>
    <row r="100" spans="1:20" ht="15" customHeight="1" x14ac:dyDescent="0.25">
      <c r="A100" s="251"/>
      <c r="B100" s="225"/>
      <c r="C100" s="253"/>
      <c r="D100" s="253"/>
      <c r="E100"/>
      <c r="F100"/>
      <c r="G100"/>
      <c r="H100"/>
      <c r="I100"/>
      <c r="J100"/>
      <c r="K100"/>
      <c r="L100"/>
      <c r="M100"/>
      <c r="N100"/>
      <c r="O100"/>
      <c r="R100" s="245">
        <f>SUM(R83:R99)</f>
        <v>4</v>
      </c>
      <c r="T100" s="244"/>
    </row>
    <row r="101" spans="1:20" x14ac:dyDescent="0.25">
      <c r="A101" s="256" t="s">
        <v>172</v>
      </c>
      <c r="B101" s="225"/>
      <c r="C101" s="253"/>
      <c r="D101" s="253"/>
      <c r="E101"/>
      <c r="F101"/>
      <c r="G101"/>
      <c r="H101"/>
      <c r="I101"/>
      <c r="J101"/>
      <c r="K101"/>
      <c r="L101"/>
      <c r="M101"/>
      <c r="N101"/>
      <c r="O101"/>
      <c r="T101" s="244"/>
    </row>
    <row r="102" spans="1:20" ht="15" customHeight="1" thickBot="1" x14ac:dyDescent="0.3">
      <c r="A102" s="251"/>
      <c r="B102" s="225"/>
      <c r="C102" s="253"/>
      <c r="D102" s="253"/>
      <c r="E102"/>
      <c r="F102"/>
      <c r="G102"/>
      <c r="H102"/>
      <c r="I102"/>
      <c r="J102"/>
      <c r="K102"/>
      <c r="L102"/>
      <c r="M102"/>
      <c r="N102"/>
      <c r="O102"/>
      <c r="R102" s="246" t="str">
        <f>IF(R112=3,criteria!I31,IF(AND(R103=1,R112=2),criteria!G31,IF(AND(R103=1,R112=1),criteria!E31,criteria!C31)))</f>
        <v xml:space="preserve">Fully Compliant </v>
      </c>
      <c r="T102" s="244"/>
    </row>
    <row r="103" spans="1:20" ht="15" customHeight="1" thickBot="1" x14ac:dyDescent="0.3">
      <c r="A103" s="251"/>
      <c r="B103" s="354" t="s">
        <v>641</v>
      </c>
      <c r="C103" s="253" t="s">
        <v>173</v>
      </c>
      <c r="D103" s="253"/>
      <c r="E103"/>
      <c r="F103"/>
      <c r="G103"/>
      <c r="H103"/>
      <c r="I103"/>
      <c r="J103"/>
      <c r="K103"/>
      <c r="L103"/>
      <c r="M103"/>
      <c r="N103"/>
      <c r="O103"/>
      <c r="R103" s="245">
        <f>IF(COUNTA(B103,G105)=2,1,0)</f>
        <v>1</v>
      </c>
      <c r="T103" s="244"/>
    </row>
    <row r="104" spans="1:20" ht="15" customHeight="1" x14ac:dyDescent="0.25">
      <c r="A104" s="251"/>
      <c r="B104" s="225"/>
      <c r="C104" s="253" t="s">
        <v>174</v>
      </c>
      <c r="D104" s="253"/>
      <c r="E104"/>
      <c r="F104"/>
      <c r="G104"/>
      <c r="H104"/>
      <c r="I104"/>
      <c r="J104"/>
      <c r="K104"/>
      <c r="L104"/>
      <c r="M104"/>
      <c r="N104"/>
      <c r="O104"/>
      <c r="T104" s="244"/>
    </row>
    <row r="105" spans="1:20" ht="15" customHeight="1" x14ac:dyDescent="0.25">
      <c r="A105" s="251"/>
      <c r="B105" s="225"/>
      <c r="C105" s="257" t="s">
        <v>509</v>
      </c>
      <c r="D105" s="253"/>
      <c r="E105"/>
      <c r="F105"/>
      <c r="G105" s="336" t="s">
        <v>647</v>
      </c>
      <c r="H105" s="336"/>
      <c r="I105" s="336"/>
      <c r="J105" s="336"/>
      <c r="K105" s="336"/>
      <c r="L105" s="336"/>
      <c r="M105" s="336"/>
      <c r="N105"/>
      <c r="O105"/>
      <c r="T105" s="244"/>
    </row>
    <row r="106" spans="1:20" ht="15" customHeight="1" thickBot="1" x14ac:dyDescent="0.3">
      <c r="A106" s="251"/>
      <c r="B106" s="225"/>
      <c r="C106" s="253"/>
      <c r="D106" s="253"/>
      <c r="E106"/>
      <c r="F106"/>
      <c r="G106"/>
      <c r="H106"/>
      <c r="I106"/>
      <c r="J106"/>
      <c r="K106"/>
      <c r="L106"/>
      <c r="M106"/>
      <c r="N106"/>
      <c r="O106"/>
      <c r="T106" s="244"/>
    </row>
    <row r="107" spans="1:20" ht="15" customHeight="1" thickBot="1" x14ac:dyDescent="0.3">
      <c r="A107" s="251"/>
      <c r="B107" s="354" t="s">
        <v>641</v>
      </c>
      <c r="C107" s="253" t="s">
        <v>175</v>
      </c>
      <c r="D107" s="253"/>
      <c r="E107"/>
      <c r="F107"/>
      <c r="G107"/>
      <c r="H107"/>
      <c r="I107"/>
      <c r="J107"/>
      <c r="K107"/>
      <c r="L107"/>
      <c r="M107"/>
      <c r="N107"/>
      <c r="O107"/>
      <c r="R107" s="245">
        <f>IF(COUNTA(B107,H108)=2,1,0)</f>
        <v>1</v>
      </c>
      <c r="T107" s="244"/>
    </row>
    <row r="108" spans="1:20" ht="15" customHeight="1" x14ac:dyDescent="0.25">
      <c r="A108" s="251"/>
      <c r="B108" s="225"/>
      <c r="C108" s="257" t="s">
        <v>472</v>
      </c>
      <c r="D108" s="253"/>
      <c r="E108"/>
      <c r="F108"/>
      <c r="G108"/>
      <c r="H108" s="336" t="s">
        <v>648</v>
      </c>
      <c r="I108" s="336"/>
      <c r="J108" s="336"/>
      <c r="K108" s="336"/>
      <c r="L108" s="336"/>
      <c r="M108" s="336"/>
      <c r="N108"/>
      <c r="O108"/>
      <c r="T108" s="244"/>
    </row>
    <row r="109" spans="1:20" ht="15" customHeight="1" thickBot="1" x14ac:dyDescent="0.3">
      <c r="A109" s="251"/>
      <c r="B109" s="225"/>
      <c r="C109" s="253"/>
      <c r="D109" s="253"/>
      <c r="E109"/>
      <c r="F109"/>
      <c r="G109"/>
      <c r="H109"/>
      <c r="I109"/>
      <c r="J109"/>
      <c r="K109"/>
      <c r="L109"/>
      <c r="M109"/>
      <c r="N109"/>
      <c r="O109"/>
      <c r="T109" s="244"/>
    </row>
    <row r="110" spans="1:20" ht="15" customHeight="1" thickBot="1" x14ac:dyDescent="0.3">
      <c r="A110" s="251"/>
      <c r="B110" s="354" t="s">
        <v>641</v>
      </c>
      <c r="C110" s="253" t="s">
        <v>176</v>
      </c>
      <c r="D110" s="253"/>
      <c r="E110"/>
      <c r="F110"/>
      <c r="G110"/>
      <c r="H110"/>
      <c r="I110"/>
      <c r="J110"/>
      <c r="K110"/>
      <c r="L110"/>
      <c r="M110"/>
      <c r="N110"/>
      <c r="O110"/>
      <c r="R110" s="245">
        <f>IF(COUNTA(B110,F111)=2,1,0)</f>
        <v>1</v>
      </c>
      <c r="T110" s="244"/>
    </row>
    <row r="111" spans="1:20" ht="15" customHeight="1" x14ac:dyDescent="0.25">
      <c r="A111" s="251"/>
      <c r="B111" s="225"/>
      <c r="C111" s="257" t="s">
        <v>457</v>
      </c>
      <c r="D111" s="253"/>
      <c r="E111"/>
      <c r="F111" s="340" t="s">
        <v>649</v>
      </c>
      <c r="G111" s="340"/>
      <c r="H111" s="340"/>
      <c r="I111" s="340"/>
      <c r="J111" s="340"/>
      <c r="K111" s="340"/>
      <c r="L111" s="340"/>
      <c r="M111" s="340"/>
      <c r="N111"/>
      <c r="O111"/>
      <c r="T111" s="244"/>
    </row>
    <row r="112" spans="1:20" ht="15" customHeight="1" x14ac:dyDescent="0.25">
      <c r="A112" s="251"/>
      <c r="B112" s="225"/>
      <c r="C112" s="253"/>
      <c r="D112" s="253"/>
      <c r="E112"/>
      <c r="F112"/>
      <c r="G112"/>
      <c r="H112"/>
      <c r="I112"/>
      <c r="J112"/>
      <c r="K112"/>
      <c r="L112"/>
      <c r="M112"/>
      <c r="N112"/>
      <c r="O112"/>
      <c r="R112" s="245">
        <f>SUM(R103:R110)</f>
        <v>3</v>
      </c>
      <c r="T112" s="244"/>
    </row>
    <row r="113" spans="1:20" ht="15" customHeight="1" x14ac:dyDescent="0.25">
      <c r="A113" s="251" t="s">
        <v>384</v>
      </c>
      <c r="B113" s="225"/>
      <c r="C113" s="253"/>
      <c r="D113" s="253"/>
      <c r="E113"/>
      <c r="F113"/>
      <c r="G113"/>
      <c r="H113"/>
      <c r="I113"/>
      <c r="J113"/>
      <c r="K113"/>
      <c r="L113"/>
      <c r="M113"/>
      <c r="N113"/>
      <c r="O113"/>
      <c r="T113" s="244"/>
    </row>
    <row r="114" spans="1:20" ht="15" customHeight="1" x14ac:dyDescent="0.25">
      <c r="A114" s="256" t="s">
        <v>385</v>
      </c>
      <c r="B114" s="225"/>
      <c r="C114" s="253"/>
      <c r="D114" s="253"/>
      <c r="E114"/>
      <c r="F114"/>
      <c r="G114"/>
      <c r="H114"/>
      <c r="I114"/>
      <c r="J114"/>
      <c r="K114"/>
      <c r="L114"/>
      <c r="M114"/>
      <c r="N114"/>
      <c r="O114"/>
      <c r="T114" s="244"/>
    </row>
    <row r="115" spans="1:20" ht="15" customHeight="1" thickBot="1" x14ac:dyDescent="0.3">
      <c r="A115" s="251"/>
      <c r="B115" s="225"/>
      <c r="C115" s="253"/>
      <c r="D115" s="253"/>
      <c r="E115"/>
      <c r="G115"/>
      <c r="H115"/>
      <c r="I115"/>
      <c r="J115"/>
      <c r="K115"/>
      <c r="L115"/>
      <c r="M115"/>
      <c r="N115"/>
      <c r="O115"/>
      <c r="T115" s="244"/>
    </row>
    <row r="116" spans="1:20" ht="15" customHeight="1" thickBot="1" x14ac:dyDescent="0.3">
      <c r="A116" s="251"/>
      <c r="B116" s="354" t="s">
        <v>641</v>
      </c>
      <c r="C116" s="253" t="s">
        <v>352</v>
      </c>
      <c r="D116"/>
      <c r="E116"/>
      <c r="F116" s="354" t="s">
        <v>641</v>
      </c>
      <c r="G116" s="253" t="s">
        <v>463</v>
      </c>
      <c r="H116"/>
      <c r="I116"/>
      <c r="J116"/>
      <c r="K116"/>
      <c r="L116"/>
      <c r="M116"/>
      <c r="N116"/>
      <c r="O116"/>
      <c r="T116" s="244"/>
    </row>
    <row r="117" spans="1:20" ht="15" customHeight="1" thickBot="1" x14ac:dyDescent="0.3">
      <c r="A117" s="251"/>
      <c r="B117" s="225"/>
      <c r="C117" s="253" t="s">
        <v>458</v>
      </c>
      <c r="D117"/>
      <c r="E117"/>
      <c r="G117" s="253"/>
      <c r="H117"/>
      <c r="I117"/>
      <c r="J117"/>
      <c r="K117"/>
      <c r="L117"/>
      <c r="M117"/>
      <c r="N117"/>
      <c r="O117"/>
      <c r="T117" s="244"/>
    </row>
    <row r="118" spans="1:20" ht="15" customHeight="1" thickBot="1" x14ac:dyDescent="0.3">
      <c r="A118" s="251"/>
      <c r="B118" s="225"/>
      <c r="C118" s="253"/>
      <c r="D118"/>
      <c r="E118"/>
      <c r="F118" s="354" t="s">
        <v>641</v>
      </c>
      <c r="G118" s="253" t="s">
        <v>464</v>
      </c>
      <c r="H118"/>
      <c r="I118"/>
      <c r="J118"/>
      <c r="K118"/>
      <c r="L118"/>
      <c r="M118"/>
      <c r="N118"/>
      <c r="O118"/>
      <c r="T118" s="244"/>
    </row>
    <row r="119" spans="1:20" ht="15" customHeight="1" thickBot="1" x14ac:dyDescent="0.3">
      <c r="A119" s="251"/>
      <c r="B119" s="354" t="s">
        <v>641</v>
      </c>
      <c r="C119" s="253" t="s">
        <v>459</v>
      </c>
      <c r="D119"/>
      <c r="E119"/>
      <c r="G119" s="253"/>
      <c r="H119"/>
      <c r="I119"/>
      <c r="J119"/>
      <c r="K119"/>
      <c r="L119"/>
      <c r="M119"/>
      <c r="N119"/>
      <c r="O119"/>
      <c r="T119" s="244"/>
    </row>
    <row r="120" spans="1:20" ht="15" customHeight="1" thickBot="1" x14ac:dyDescent="0.3">
      <c r="A120" s="251"/>
      <c r="B120" s="244"/>
      <c r="C120" s="253"/>
      <c r="D120"/>
      <c r="E120"/>
      <c r="F120" s="354" t="s">
        <v>641</v>
      </c>
      <c r="G120" s="253" t="s">
        <v>465</v>
      </c>
      <c r="H120"/>
      <c r="I120"/>
      <c r="J120"/>
      <c r="K120"/>
      <c r="L120"/>
      <c r="M120"/>
      <c r="N120"/>
      <c r="O120"/>
      <c r="T120" s="244"/>
    </row>
    <row r="121" spans="1:20" ht="15" customHeight="1" thickBot="1" x14ac:dyDescent="0.3">
      <c r="A121" s="251"/>
      <c r="B121" s="354" t="s">
        <v>641</v>
      </c>
      <c r="C121" s="253" t="s">
        <v>460</v>
      </c>
      <c r="D121"/>
      <c r="E121"/>
      <c r="G121" s="253"/>
      <c r="H121"/>
      <c r="I121"/>
      <c r="J121"/>
      <c r="K121"/>
      <c r="L121"/>
      <c r="M121"/>
      <c r="N121"/>
      <c r="O121"/>
      <c r="R121" s="245" t="str">
        <f>IF(COUNTA(B116:B125,F116:F124)&gt;0,R129,"n/a")</f>
        <v xml:space="preserve">Not Compliant </v>
      </c>
      <c r="T121" s="244"/>
    </row>
    <row r="122" spans="1:20" ht="15" customHeight="1" thickBot="1" x14ac:dyDescent="0.3">
      <c r="A122"/>
      <c r="B122" s="244"/>
      <c r="C122" s="253"/>
      <c r="D122"/>
      <c r="E122"/>
      <c r="F122" s="354"/>
      <c r="G122" s="253" t="s">
        <v>466</v>
      </c>
      <c r="H122"/>
      <c r="I122"/>
      <c r="J122"/>
      <c r="K122"/>
      <c r="L122"/>
      <c r="M122"/>
      <c r="N122"/>
      <c r="O122"/>
      <c r="T122" s="244"/>
    </row>
    <row r="123" spans="1:20" ht="15" customHeight="1" thickBot="1" x14ac:dyDescent="0.3">
      <c r="A123" s="251"/>
      <c r="B123" s="354" t="s">
        <v>641</v>
      </c>
      <c r="C123" s="253" t="s">
        <v>461</v>
      </c>
      <c r="D123"/>
      <c r="E123"/>
      <c r="G123" s="253"/>
      <c r="H123"/>
      <c r="I123"/>
      <c r="J123"/>
      <c r="K123"/>
      <c r="L123"/>
      <c r="M123"/>
      <c r="N123"/>
      <c r="O123"/>
      <c r="T123" s="244"/>
    </row>
    <row r="124" spans="1:20" ht="15" customHeight="1" thickBot="1" x14ac:dyDescent="0.3">
      <c r="A124" s="251"/>
      <c r="B124" s="244"/>
      <c r="C124" s="253"/>
      <c r="D124"/>
      <c r="E124"/>
      <c r="F124" s="354" t="s">
        <v>641</v>
      </c>
      <c r="G124" s="253" t="s">
        <v>351</v>
      </c>
      <c r="H124"/>
      <c r="I124"/>
      <c r="J124"/>
      <c r="K124"/>
      <c r="L124"/>
      <c r="M124"/>
      <c r="N124"/>
      <c r="O124"/>
      <c r="T124" s="244"/>
    </row>
    <row r="125" spans="1:20" ht="15" customHeight="1" thickBot="1" x14ac:dyDescent="0.3">
      <c r="A125" s="251"/>
      <c r="B125" s="354" t="s">
        <v>641</v>
      </c>
      <c r="C125" s="253" t="s">
        <v>462</v>
      </c>
      <c r="D125"/>
      <c r="E125"/>
      <c r="G125"/>
      <c r="H125"/>
      <c r="I125"/>
      <c r="J125"/>
      <c r="K125"/>
      <c r="L125"/>
      <c r="M125"/>
      <c r="N125"/>
      <c r="O125"/>
      <c r="T125" s="244"/>
    </row>
    <row r="126" spans="1:20" ht="15" customHeight="1" x14ac:dyDescent="0.25">
      <c r="A126" s="251"/>
      <c r="B126" s="225"/>
      <c r="C126" s="253"/>
      <c r="D126" s="253"/>
      <c r="E126"/>
      <c r="F126"/>
      <c r="G126"/>
      <c r="H126"/>
      <c r="I126"/>
      <c r="J126"/>
      <c r="K126"/>
      <c r="L126"/>
      <c r="M126"/>
      <c r="N126"/>
      <c r="O126"/>
      <c r="T126" s="244"/>
    </row>
    <row r="127" spans="1:20" ht="15" customHeight="1" x14ac:dyDescent="0.25">
      <c r="A127" s="256" t="s">
        <v>353</v>
      </c>
      <c r="B127" s="225"/>
      <c r="C127" s="253"/>
      <c r="D127" s="253"/>
      <c r="E127"/>
      <c r="F127"/>
      <c r="G127"/>
      <c r="H127"/>
      <c r="I127"/>
      <c r="J127"/>
      <c r="K127"/>
      <c r="L127"/>
      <c r="M127"/>
      <c r="N127"/>
      <c r="O127"/>
      <c r="T127" s="244"/>
    </row>
    <row r="128" spans="1:20" ht="15" customHeight="1" thickBot="1" x14ac:dyDescent="0.3">
      <c r="A128" s="251"/>
      <c r="B128" s="225"/>
      <c r="C128" s="253"/>
      <c r="D128" s="253"/>
      <c r="E128"/>
      <c r="F128"/>
      <c r="G128"/>
      <c r="H128"/>
      <c r="I128"/>
      <c r="J128"/>
      <c r="K128"/>
      <c r="L128"/>
      <c r="M128"/>
      <c r="N128"/>
      <c r="O128"/>
      <c r="T128" s="244"/>
    </row>
    <row r="129" spans="1:20" ht="15" customHeight="1" thickBot="1" x14ac:dyDescent="0.3">
      <c r="A129" s="251"/>
      <c r="B129" s="226"/>
      <c r="C129" s="253" t="s">
        <v>354</v>
      </c>
      <c r="D129"/>
      <c r="E129"/>
      <c r="F129" s="354" t="s">
        <v>641</v>
      </c>
      <c r="G129" s="253" t="s">
        <v>355</v>
      </c>
      <c r="H129"/>
      <c r="I129"/>
      <c r="J129"/>
      <c r="K129"/>
      <c r="L129"/>
      <c r="M129"/>
      <c r="N129"/>
      <c r="O129"/>
      <c r="R129" s="245" t="str">
        <f>IF(COUNTA(B129)=1, criteria!I36,criteria!C36)</f>
        <v xml:space="preserve">Not Compliant </v>
      </c>
      <c r="T129" s="244"/>
    </row>
    <row r="130" spans="1:20" ht="15" customHeight="1" x14ac:dyDescent="0.25">
      <c r="A130" s="251"/>
      <c r="B130" s="225"/>
      <c r="C130" s="253"/>
      <c r="D130" s="253"/>
      <c r="E130"/>
      <c r="F130"/>
      <c r="G130"/>
      <c r="H130"/>
      <c r="I130"/>
      <c r="J130"/>
      <c r="K130"/>
      <c r="L130"/>
      <c r="M130"/>
      <c r="N130"/>
      <c r="O130"/>
      <c r="T130" s="244"/>
    </row>
    <row r="131" spans="1:20" x14ac:dyDescent="0.25">
      <c r="A131" s="251" t="s">
        <v>390</v>
      </c>
      <c r="B131" s="225"/>
      <c r="C131" s="253"/>
      <c r="D131" s="253"/>
      <c r="E131"/>
      <c r="F131"/>
      <c r="G131"/>
      <c r="H131"/>
      <c r="I131"/>
      <c r="J131"/>
      <c r="K131"/>
      <c r="L131"/>
      <c r="M131"/>
      <c r="N131"/>
      <c r="O131"/>
      <c r="T131" s="244"/>
    </row>
    <row r="132" spans="1:20" x14ac:dyDescent="0.25">
      <c r="A132" s="251" t="s">
        <v>177</v>
      </c>
      <c r="B132" s="225"/>
      <c r="C132" s="253"/>
      <c r="D132" s="253"/>
      <c r="E132"/>
      <c r="F132"/>
      <c r="G132"/>
      <c r="H132"/>
      <c r="I132"/>
      <c r="J132"/>
      <c r="K132"/>
      <c r="L132"/>
      <c r="M132"/>
      <c r="N132"/>
      <c r="O132"/>
      <c r="R132" s="246" t="str">
        <f>IF(R140=3,criteria!I45,IF(AND(R134=1,R140=2),criteria!G45,IF(AND(R134=1,R140=1),criteria!E45,criteria!C45)))</f>
        <v xml:space="preserve">Fully Compliant </v>
      </c>
      <c r="T132" s="244"/>
    </row>
    <row r="133" spans="1:20" ht="15" customHeight="1" thickBot="1" x14ac:dyDescent="0.3">
      <c r="A133" s="251"/>
      <c r="B133" s="225"/>
      <c r="C133" s="253"/>
      <c r="D133" s="253"/>
      <c r="E133"/>
      <c r="F133"/>
      <c r="G133"/>
      <c r="H133"/>
      <c r="I133"/>
      <c r="J133"/>
      <c r="K133"/>
      <c r="L133"/>
      <c r="M133"/>
      <c r="N133"/>
      <c r="O133"/>
      <c r="T133" s="244"/>
    </row>
    <row r="134" spans="1:20" ht="15" customHeight="1" thickBot="1" x14ac:dyDescent="0.3">
      <c r="A134" s="251"/>
      <c r="B134" s="354" t="s">
        <v>641</v>
      </c>
      <c r="C134" s="253" t="s">
        <v>178</v>
      </c>
      <c r="D134" s="253"/>
      <c r="E134"/>
      <c r="F134"/>
      <c r="G134"/>
      <c r="H134"/>
      <c r="I134"/>
      <c r="J134"/>
      <c r="K134"/>
      <c r="L134"/>
      <c r="M134"/>
      <c r="N134"/>
      <c r="O134"/>
      <c r="R134" s="245">
        <f>IF(COUNTA(B134,E135)=2,1,0)</f>
        <v>1</v>
      </c>
      <c r="T134" s="244"/>
    </row>
    <row r="135" spans="1:20" ht="15" customHeight="1" x14ac:dyDescent="0.25">
      <c r="A135" s="251"/>
      <c r="B135" s="225"/>
      <c r="C135" s="253" t="s">
        <v>447</v>
      </c>
      <c r="D135" s="253"/>
      <c r="E135" s="336" t="s">
        <v>650</v>
      </c>
      <c r="F135" s="336"/>
      <c r="G135" s="336"/>
      <c r="H135" s="336"/>
      <c r="I135" s="336"/>
      <c r="J135" s="336"/>
      <c r="K135" s="336"/>
      <c r="L135" s="336"/>
      <c r="M135" s="336"/>
      <c r="N135"/>
      <c r="O135"/>
      <c r="T135" s="244"/>
    </row>
    <row r="136" spans="1:20" ht="15" customHeight="1" thickBot="1" x14ac:dyDescent="0.3">
      <c r="A136" s="251"/>
      <c r="B136" s="225"/>
      <c r="C136" s="253"/>
      <c r="D136" s="253"/>
      <c r="E136"/>
      <c r="F136"/>
      <c r="G136"/>
      <c r="H136"/>
      <c r="I136"/>
      <c r="J136"/>
      <c r="K136"/>
      <c r="L136"/>
      <c r="M136"/>
      <c r="N136"/>
      <c r="O136"/>
      <c r="T136" s="244"/>
    </row>
    <row r="137" spans="1:20" ht="15" customHeight="1" thickBot="1" x14ac:dyDescent="0.3">
      <c r="A137" s="251"/>
      <c r="B137" s="354" t="s">
        <v>641</v>
      </c>
      <c r="C137" s="253" t="s">
        <v>179</v>
      </c>
      <c r="D137" s="253"/>
      <c r="E137"/>
      <c r="F137"/>
      <c r="G137"/>
      <c r="H137"/>
      <c r="I137"/>
      <c r="J137"/>
      <c r="K137"/>
      <c r="L137"/>
      <c r="M137"/>
      <c r="N137"/>
      <c r="O137"/>
      <c r="R137" s="245">
        <f>IF(COUNTA(B137)=1,1,0)</f>
        <v>1</v>
      </c>
      <c r="T137" s="244"/>
    </row>
    <row r="138" spans="1:20" ht="15" customHeight="1" thickBot="1" x14ac:dyDescent="0.3">
      <c r="A138" s="251"/>
      <c r="B138" s="225"/>
      <c r="C138" s="253"/>
      <c r="D138" s="253"/>
      <c r="E138"/>
      <c r="F138"/>
      <c r="G138"/>
      <c r="H138"/>
      <c r="I138"/>
      <c r="J138"/>
      <c r="K138"/>
      <c r="L138"/>
      <c r="M138"/>
      <c r="N138"/>
      <c r="O138"/>
      <c r="T138" s="244"/>
    </row>
    <row r="139" spans="1:20" ht="15" customHeight="1" thickBot="1" x14ac:dyDescent="0.3">
      <c r="A139" s="251"/>
      <c r="B139" s="354" t="s">
        <v>641</v>
      </c>
      <c r="C139" s="253" t="s">
        <v>180</v>
      </c>
      <c r="D139" s="253"/>
      <c r="E139"/>
      <c r="F139"/>
      <c r="G139"/>
      <c r="H139"/>
      <c r="I139"/>
      <c r="J139"/>
      <c r="K139"/>
      <c r="L139"/>
      <c r="M139"/>
      <c r="N139"/>
      <c r="O139"/>
      <c r="R139" s="245">
        <f>IF(COUNTA(B139)=1,1,0)</f>
        <v>1</v>
      </c>
      <c r="T139" s="244"/>
    </row>
    <row r="140" spans="1:20" ht="15" customHeight="1" x14ac:dyDescent="0.25">
      <c r="A140" s="251"/>
      <c r="B140" s="225"/>
      <c r="C140" s="253"/>
      <c r="D140" s="253"/>
      <c r="E140"/>
      <c r="F140"/>
      <c r="G140"/>
      <c r="H140"/>
      <c r="I140"/>
      <c r="J140"/>
      <c r="K140"/>
      <c r="L140"/>
      <c r="M140"/>
      <c r="N140"/>
      <c r="O140"/>
      <c r="R140" s="245">
        <f>SUM(R134:R139)</f>
        <v>3</v>
      </c>
      <c r="T140" s="244"/>
    </row>
    <row r="141" spans="1:20" x14ac:dyDescent="0.25">
      <c r="A141" s="251" t="s">
        <v>391</v>
      </c>
      <c r="B141" s="225"/>
      <c r="C141" s="253"/>
      <c r="D141" s="253"/>
      <c r="E141"/>
      <c r="F141"/>
      <c r="G141"/>
      <c r="H141"/>
      <c r="I141"/>
      <c r="J141"/>
      <c r="K141"/>
      <c r="L141"/>
      <c r="M141"/>
      <c r="N141"/>
      <c r="O141"/>
      <c r="T141" s="244"/>
    </row>
    <row r="142" spans="1:20" x14ac:dyDescent="0.25">
      <c r="A142" s="251" t="s">
        <v>181</v>
      </c>
      <c r="B142" s="225"/>
      <c r="C142" s="253"/>
      <c r="D142" s="253"/>
      <c r="E142"/>
      <c r="F142"/>
      <c r="G142"/>
      <c r="H142"/>
      <c r="I142"/>
      <c r="J142"/>
      <c r="K142"/>
      <c r="L142"/>
      <c r="M142"/>
      <c r="N142"/>
      <c r="O142"/>
      <c r="R142" s="246" t="str">
        <f>IF(R153=4,criteria!I46,IF(AND(R144=1,R153=3),criteria!G46,IF(AND(R144=1,R153=2),criteria!E46,criteria!C46)))</f>
        <v xml:space="preserve">Fully Compliant </v>
      </c>
      <c r="T142" s="244"/>
    </row>
    <row r="143" spans="1:20" ht="15" customHeight="1" thickBot="1" x14ac:dyDescent="0.3">
      <c r="A143" s="251"/>
      <c r="B143" s="225"/>
      <c r="C143" s="253"/>
      <c r="D143" s="253"/>
      <c r="E143"/>
      <c r="F143"/>
      <c r="G143"/>
      <c r="H143"/>
      <c r="I143"/>
      <c r="J143"/>
      <c r="K143"/>
      <c r="L143"/>
      <c r="M143"/>
      <c r="N143"/>
      <c r="O143"/>
      <c r="T143" s="244"/>
    </row>
    <row r="144" spans="1:20" ht="15" customHeight="1" thickBot="1" x14ac:dyDescent="0.3">
      <c r="A144" s="251"/>
      <c r="B144" s="354" t="s">
        <v>641</v>
      </c>
      <c r="C144" s="253" t="s">
        <v>182</v>
      </c>
      <c r="D144" s="253"/>
      <c r="E144"/>
      <c r="F144"/>
      <c r="G144"/>
      <c r="H144"/>
      <c r="I144"/>
      <c r="J144"/>
      <c r="K144"/>
      <c r="L144"/>
      <c r="M144"/>
      <c r="N144"/>
      <c r="O144"/>
      <c r="R144" s="245">
        <f>IF(COUNTA(B144)=1,1,0)</f>
        <v>1</v>
      </c>
      <c r="T144" s="244"/>
    </row>
    <row r="145" spans="1:20" ht="15" customHeight="1" thickBot="1" x14ac:dyDescent="0.3">
      <c r="A145" s="251"/>
      <c r="B145" s="225"/>
      <c r="C145" s="253"/>
      <c r="D145" s="253"/>
      <c r="E145"/>
      <c r="F145"/>
      <c r="G145"/>
      <c r="H145"/>
      <c r="I145"/>
      <c r="J145"/>
      <c r="K145"/>
      <c r="L145"/>
      <c r="M145"/>
      <c r="N145"/>
      <c r="O145"/>
      <c r="T145" s="244"/>
    </row>
    <row r="146" spans="1:20" ht="15" customHeight="1" thickBot="1" x14ac:dyDescent="0.3">
      <c r="A146" s="251"/>
      <c r="B146" s="354" t="s">
        <v>641</v>
      </c>
      <c r="C146" s="253" t="s">
        <v>183</v>
      </c>
      <c r="D146" s="253"/>
      <c r="E146"/>
      <c r="F146"/>
      <c r="G146"/>
      <c r="H146"/>
      <c r="I146"/>
      <c r="J146"/>
      <c r="K146"/>
      <c r="L146"/>
      <c r="M146"/>
      <c r="N146"/>
      <c r="O146"/>
      <c r="R146" s="245">
        <f>IF(COUNTA(B146,H147,K147)=3,1,0)</f>
        <v>1</v>
      </c>
      <c r="T146" s="244"/>
    </row>
    <row r="147" spans="1:20" ht="15" customHeight="1" x14ac:dyDescent="0.25">
      <c r="A147" s="251"/>
      <c r="B147" s="225"/>
      <c r="C147" s="253" t="s">
        <v>453</v>
      </c>
      <c r="D147" s="253"/>
      <c r="E147"/>
      <c r="F147" s="254"/>
      <c r="G147" t="s">
        <v>454</v>
      </c>
      <c r="H147" s="337">
        <v>45121</v>
      </c>
      <c r="I147" s="337"/>
      <c r="J147" t="s">
        <v>455</v>
      </c>
      <c r="K147" s="337">
        <v>45305</v>
      </c>
      <c r="L147" s="337"/>
      <c r="M147"/>
      <c r="N147"/>
      <c r="O147"/>
      <c r="T147" s="244"/>
    </row>
    <row r="148" spans="1:20" ht="15" customHeight="1" thickBot="1" x14ac:dyDescent="0.3">
      <c r="A148" s="251"/>
      <c r="B148" s="225"/>
      <c r="C148" s="253"/>
      <c r="D148" s="253"/>
      <c r="E148"/>
      <c r="F148"/>
      <c r="G148"/>
      <c r="H148"/>
      <c r="I148"/>
      <c r="J148"/>
      <c r="K148"/>
      <c r="L148"/>
      <c r="M148"/>
      <c r="N148"/>
      <c r="O148"/>
      <c r="T148" s="244"/>
    </row>
    <row r="149" spans="1:20" ht="15" customHeight="1" thickBot="1" x14ac:dyDescent="0.3">
      <c r="A149" s="251"/>
      <c r="B149" s="354" t="s">
        <v>641</v>
      </c>
      <c r="C149" s="253" t="s">
        <v>184</v>
      </c>
      <c r="D149" s="253"/>
      <c r="E149"/>
      <c r="F149"/>
      <c r="G149"/>
      <c r="H149"/>
      <c r="I149"/>
      <c r="J149"/>
      <c r="K149"/>
      <c r="L149"/>
      <c r="M149"/>
      <c r="N149"/>
      <c r="O149"/>
      <c r="R149" s="245">
        <f>IF(COUNTA(B149,E150)=2,1,0)</f>
        <v>1</v>
      </c>
      <c r="T149" s="244"/>
    </row>
    <row r="150" spans="1:20" ht="15" customHeight="1" x14ac:dyDescent="0.25">
      <c r="A150" s="251"/>
      <c r="B150" s="225"/>
      <c r="C150" s="253" t="s">
        <v>447</v>
      </c>
      <c r="D150" s="253"/>
      <c r="E150" s="336" t="s">
        <v>651</v>
      </c>
      <c r="F150" s="336"/>
      <c r="G150" s="336"/>
      <c r="H150" s="336"/>
      <c r="I150" s="336"/>
      <c r="J150" s="336"/>
      <c r="K150" s="336"/>
      <c r="L150" s="336"/>
      <c r="M150" s="336"/>
      <c r="N150"/>
      <c r="O150"/>
      <c r="T150" s="244"/>
    </row>
    <row r="151" spans="1:20" ht="15" customHeight="1" thickBot="1" x14ac:dyDescent="0.3">
      <c r="A151" s="251"/>
      <c r="B151" s="225"/>
      <c r="C151" s="253"/>
      <c r="D151" s="253"/>
      <c r="E151"/>
      <c r="F151"/>
      <c r="G151"/>
      <c r="H151"/>
      <c r="I151"/>
      <c r="J151"/>
      <c r="K151"/>
      <c r="L151"/>
      <c r="M151"/>
      <c r="N151"/>
      <c r="O151"/>
      <c r="T151" s="244"/>
    </row>
    <row r="152" spans="1:20" ht="15" customHeight="1" thickBot="1" x14ac:dyDescent="0.3">
      <c r="A152" s="251"/>
      <c r="B152" s="354" t="s">
        <v>641</v>
      </c>
      <c r="C152" s="253" t="s">
        <v>185</v>
      </c>
      <c r="D152" s="253"/>
      <c r="E152"/>
      <c r="F152"/>
      <c r="G152"/>
      <c r="H152"/>
      <c r="I152"/>
      <c r="J152"/>
      <c r="K152"/>
      <c r="L152"/>
      <c r="M152"/>
      <c r="N152"/>
      <c r="O152"/>
      <c r="R152" s="245">
        <f>IF(COUNTA(B152)=1,1,0)</f>
        <v>1</v>
      </c>
      <c r="T152" s="244"/>
    </row>
    <row r="153" spans="1:20" ht="15" customHeight="1" x14ac:dyDescent="0.25">
      <c r="A153" s="251"/>
      <c r="B153" s="225"/>
      <c r="C153" s="253"/>
      <c r="D153" s="253"/>
      <c r="E153"/>
      <c r="F153"/>
      <c r="G153"/>
      <c r="H153"/>
      <c r="I153"/>
      <c r="J153"/>
      <c r="K153"/>
      <c r="L153"/>
      <c r="M153"/>
      <c r="N153"/>
      <c r="O153"/>
      <c r="R153" s="245">
        <f>SUM(R144:R152)</f>
        <v>4</v>
      </c>
      <c r="T153" s="244"/>
    </row>
    <row r="154" spans="1:20" ht="15" customHeight="1" x14ac:dyDescent="0.25">
      <c r="A154" s="251" t="s">
        <v>392</v>
      </c>
      <c r="B154" s="225"/>
      <c r="C154" s="253"/>
      <c r="D154" s="253"/>
      <c r="E154"/>
      <c r="F154"/>
      <c r="G154"/>
      <c r="H154"/>
      <c r="I154"/>
      <c r="J154"/>
      <c r="K154"/>
      <c r="L154"/>
      <c r="M154"/>
      <c r="N154"/>
      <c r="O154"/>
      <c r="T154" s="244"/>
    </row>
    <row r="155" spans="1:20" ht="15" customHeight="1" x14ac:dyDescent="0.25">
      <c r="A155" s="251" t="s">
        <v>377</v>
      </c>
      <c r="B155" s="225"/>
      <c r="C155" s="253"/>
      <c r="D155" s="253"/>
      <c r="E155"/>
      <c r="F155"/>
      <c r="G155"/>
      <c r="H155"/>
      <c r="I155"/>
      <c r="J155"/>
      <c r="K155"/>
      <c r="L155"/>
      <c r="M155"/>
      <c r="N155"/>
      <c r="O155"/>
      <c r="T155" s="244"/>
    </row>
    <row r="156" spans="1:20" ht="15" customHeight="1" thickBot="1" x14ac:dyDescent="0.3">
      <c r="A156" s="251"/>
      <c r="B156" s="225"/>
      <c r="C156" s="253"/>
      <c r="D156" s="253"/>
      <c r="E156"/>
      <c r="F156"/>
      <c r="G156"/>
      <c r="H156"/>
      <c r="I156"/>
      <c r="J156"/>
      <c r="K156"/>
      <c r="L156"/>
      <c r="M156"/>
      <c r="N156"/>
      <c r="O156"/>
      <c r="R156" s="246" t="str">
        <f>IF(R162=3,criteria!I53,IF(AND(R157=1,R162=2),criteria!G53,IF(AND(R157=1,R162=1),criteria!E53,criteria!C53)))</f>
        <v xml:space="preserve">Fully Compliant </v>
      </c>
      <c r="T156" s="244"/>
    </row>
    <row r="157" spans="1:20" ht="15" customHeight="1" thickBot="1" x14ac:dyDescent="0.3">
      <c r="A157" s="251"/>
      <c r="B157" s="354" t="s">
        <v>641</v>
      </c>
      <c r="C157" s="253" t="s">
        <v>373</v>
      </c>
      <c r="D157" s="253"/>
      <c r="E157"/>
      <c r="F157"/>
      <c r="G157"/>
      <c r="H157"/>
      <c r="I157"/>
      <c r="J157"/>
      <c r="K157"/>
      <c r="L157"/>
      <c r="M157"/>
      <c r="N157"/>
      <c r="O157"/>
      <c r="R157" s="245">
        <f>IF(COUNTA(B157)=1,1,0)</f>
        <v>1</v>
      </c>
      <c r="T157" s="244"/>
    </row>
    <row r="158" spans="1:20" ht="15" customHeight="1" thickBot="1" x14ac:dyDescent="0.3">
      <c r="A158" s="251"/>
      <c r="B158" s="225"/>
      <c r="C158" s="253"/>
      <c r="D158" s="253"/>
      <c r="E158"/>
      <c r="F158"/>
      <c r="G158"/>
      <c r="H158"/>
      <c r="I158"/>
      <c r="J158"/>
      <c r="K158"/>
      <c r="L158"/>
      <c r="M158"/>
      <c r="N158"/>
      <c r="O158"/>
      <c r="T158" s="244"/>
    </row>
    <row r="159" spans="1:20" ht="15" customHeight="1" thickBot="1" x14ac:dyDescent="0.3">
      <c r="A159" s="251"/>
      <c r="B159" s="354" t="s">
        <v>641</v>
      </c>
      <c r="C159" s="253" t="s">
        <v>374</v>
      </c>
      <c r="D159" s="253"/>
      <c r="E159"/>
      <c r="F159"/>
      <c r="G159"/>
      <c r="H159"/>
      <c r="I159"/>
      <c r="J159"/>
      <c r="K159"/>
      <c r="L159"/>
      <c r="M159"/>
      <c r="N159"/>
      <c r="O159"/>
      <c r="R159" s="245">
        <f>IF(COUNTA(B159)=1,1,0)</f>
        <v>1</v>
      </c>
      <c r="T159" s="244"/>
    </row>
    <row r="160" spans="1:20" ht="15" customHeight="1" thickBot="1" x14ac:dyDescent="0.3">
      <c r="A160" s="251"/>
      <c r="B160" s="225"/>
      <c r="C160" s="253"/>
      <c r="D160" s="253"/>
      <c r="E160"/>
      <c r="F160"/>
      <c r="G160"/>
      <c r="H160"/>
      <c r="I160"/>
      <c r="J160"/>
      <c r="K160"/>
      <c r="L160"/>
      <c r="M160"/>
      <c r="N160"/>
      <c r="O160"/>
      <c r="T160" s="244"/>
    </row>
    <row r="161" spans="1:20" ht="15" customHeight="1" thickBot="1" x14ac:dyDescent="0.3">
      <c r="A161" s="251"/>
      <c r="B161" s="354" t="s">
        <v>641</v>
      </c>
      <c r="C161" s="253" t="s">
        <v>375</v>
      </c>
      <c r="D161" s="253"/>
      <c r="E161"/>
      <c r="F161"/>
      <c r="G161"/>
      <c r="H161"/>
      <c r="I161"/>
      <c r="J161"/>
      <c r="K161"/>
      <c r="L161"/>
      <c r="M161"/>
      <c r="N161"/>
      <c r="O161"/>
      <c r="R161" s="245">
        <f>IF(COUNTA(B161)=1,1,0)</f>
        <v>1</v>
      </c>
      <c r="T161" s="244"/>
    </row>
    <row r="162" spans="1:20" ht="15" customHeight="1" x14ac:dyDescent="0.25">
      <c r="A162" s="251"/>
      <c r="B162" s="225"/>
      <c r="C162" s="253" t="s">
        <v>376</v>
      </c>
      <c r="D162" s="253"/>
      <c r="E162"/>
      <c r="F162"/>
      <c r="G162"/>
      <c r="H162"/>
      <c r="I162"/>
      <c r="J162"/>
      <c r="K162"/>
      <c r="L162"/>
      <c r="M162"/>
      <c r="N162"/>
      <c r="O162"/>
      <c r="R162" s="245">
        <f>SUM(R157:R161)</f>
        <v>3</v>
      </c>
      <c r="T162" s="244"/>
    </row>
    <row r="163" spans="1:20" ht="15" customHeight="1" x14ac:dyDescent="0.25">
      <c r="A163" s="251"/>
      <c r="B163" s="225"/>
      <c r="C163" s="253"/>
      <c r="D163" s="253"/>
      <c r="E163"/>
      <c r="F163"/>
      <c r="G163"/>
      <c r="H163"/>
      <c r="I163"/>
      <c r="J163"/>
      <c r="K163"/>
      <c r="L163"/>
      <c r="M163"/>
      <c r="N163"/>
      <c r="O163"/>
      <c r="T163" s="244"/>
    </row>
    <row r="164" spans="1:20" ht="15" customHeight="1" x14ac:dyDescent="0.25">
      <c r="A164" s="251" t="s">
        <v>393</v>
      </c>
      <c r="B164" s="225"/>
      <c r="C164" s="253"/>
      <c r="D164" s="253"/>
      <c r="E164"/>
      <c r="F164"/>
      <c r="G164"/>
      <c r="H164"/>
      <c r="I164"/>
      <c r="J164"/>
      <c r="K164"/>
      <c r="L164"/>
      <c r="M164"/>
      <c r="N164"/>
      <c r="O164"/>
      <c r="T164" s="244"/>
    </row>
    <row r="165" spans="1:20" ht="15" customHeight="1" thickBot="1" x14ac:dyDescent="0.3">
      <c r="A165" s="251"/>
      <c r="B165" s="225"/>
      <c r="C165" s="253"/>
      <c r="D165" s="253"/>
      <c r="E165"/>
      <c r="F165"/>
      <c r="G165"/>
      <c r="H165"/>
      <c r="I165"/>
      <c r="J165"/>
      <c r="K165"/>
      <c r="L165"/>
      <c r="M165"/>
      <c r="N165"/>
      <c r="O165"/>
      <c r="R165" s="246" t="str">
        <f>IF(R172=3,criteria!I61,IF(AND(R166=1,R172=2),criteria!G61,IF(AND(R166=1,R172=1),criteria!E61,criteria!C61)))</f>
        <v xml:space="preserve">Fully Compliant </v>
      </c>
      <c r="T165" s="244"/>
    </row>
    <row r="166" spans="1:20" ht="15" customHeight="1" thickBot="1" x14ac:dyDescent="0.3">
      <c r="A166" s="251"/>
      <c r="B166" s="354" t="s">
        <v>641</v>
      </c>
      <c r="C166" s="253" t="s">
        <v>398</v>
      </c>
      <c r="D166" s="253"/>
      <c r="E166"/>
      <c r="F166"/>
      <c r="G166"/>
      <c r="H166"/>
      <c r="I166"/>
      <c r="J166"/>
      <c r="K166"/>
      <c r="L166"/>
      <c r="M166"/>
      <c r="N166"/>
      <c r="O166"/>
      <c r="R166" s="245">
        <f>IF(COUNTA(B166)=1,1,0)</f>
        <v>1</v>
      </c>
      <c r="T166" s="244"/>
    </row>
    <row r="167" spans="1:20" ht="15" customHeight="1" x14ac:dyDescent="0.25">
      <c r="A167" s="251"/>
      <c r="B167" s="225"/>
      <c r="C167" s="253" t="s">
        <v>399</v>
      </c>
      <c r="D167" s="253"/>
      <c r="E167"/>
      <c r="F167"/>
      <c r="G167"/>
      <c r="H167"/>
      <c r="I167"/>
      <c r="J167"/>
      <c r="K167"/>
      <c r="L167"/>
      <c r="M167"/>
      <c r="N167"/>
      <c r="O167"/>
      <c r="T167" s="244"/>
    </row>
    <row r="168" spans="1:20" ht="15" customHeight="1" thickBot="1" x14ac:dyDescent="0.3">
      <c r="A168" s="251"/>
      <c r="B168" s="225"/>
      <c r="C168" s="253"/>
      <c r="D168" s="253"/>
      <c r="E168"/>
      <c r="F168"/>
      <c r="G168"/>
      <c r="H168"/>
      <c r="I168"/>
      <c r="J168"/>
      <c r="K168"/>
      <c r="L168"/>
      <c r="M168"/>
      <c r="N168"/>
      <c r="O168"/>
      <c r="T168" s="244"/>
    </row>
    <row r="169" spans="1:20" ht="15" customHeight="1" thickBot="1" x14ac:dyDescent="0.3">
      <c r="A169" s="251"/>
      <c r="B169" s="354" t="s">
        <v>641</v>
      </c>
      <c r="C169" s="253" t="s">
        <v>186</v>
      </c>
      <c r="D169" s="253"/>
      <c r="E169"/>
      <c r="F169"/>
      <c r="G169"/>
      <c r="H169"/>
      <c r="I169"/>
      <c r="J169"/>
      <c r="K169"/>
      <c r="L169"/>
      <c r="M169"/>
      <c r="N169"/>
      <c r="O169"/>
      <c r="R169" s="245">
        <f>IF(COUNTA(B169)=1,1,0)</f>
        <v>1</v>
      </c>
      <c r="T169" s="244"/>
    </row>
    <row r="170" spans="1:20" ht="15" customHeight="1" thickBot="1" x14ac:dyDescent="0.3">
      <c r="A170" s="251"/>
      <c r="B170" s="225"/>
      <c r="C170" s="253"/>
      <c r="D170" s="253"/>
      <c r="E170"/>
      <c r="F170"/>
      <c r="G170"/>
      <c r="H170"/>
      <c r="I170"/>
      <c r="J170"/>
      <c r="K170"/>
      <c r="L170"/>
      <c r="M170"/>
      <c r="N170"/>
      <c r="O170"/>
      <c r="T170" s="244"/>
    </row>
    <row r="171" spans="1:20" ht="15" customHeight="1" thickBot="1" x14ac:dyDescent="0.3">
      <c r="A171" s="251"/>
      <c r="B171" s="354" t="s">
        <v>641</v>
      </c>
      <c r="C171" s="253" t="s">
        <v>400</v>
      </c>
      <c r="D171" s="253"/>
      <c r="E171"/>
      <c r="F171"/>
      <c r="G171"/>
      <c r="H171"/>
      <c r="I171"/>
      <c r="J171"/>
      <c r="K171"/>
      <c r="L171"/>
      <c r="M171"/>
      <c r="N171"/>
      <c r="O171"/>
      <c r="R171" s="245">
        <f>IF(COUNTA(B171)=1,1,0)</f>
        <v>1</v>
      </c>
      <c r="T171" s="244"/>
    </row>
    <row r="172" spans="1:20" ht="15" customHeight="1" x14ac:dyDescent="0.25">
      <c r="A172" s="251"/>
      <c r="B172" s="225"/>
      <c r="C172" s="253"/>
      <c r="D172" s="253"/>
      <c r="E172"/>
      <c r="F172"/>
      <c r="G172"/>
      <c r="H172"/>
      <c r="I172"/>
      <c r="J172"/>
      <c r="K172"/>
      <c r="L172"/>
      <c r="M172"/>
      <c r="N172"/>
      <c r="O172"/>
      <c r="R172" s="245">
        <f>SUM(R166:R171)</f>
        <v>3</v>
      </c>
      <c r="T172" s="244"/>
    </row>
    <row r="173" spans="1:20" ht="15" customHeight="1" x14ac:dyDescent="0.25">
      <c r="A173" s="251" t="s">
        <v>473</v>
      </c>
      <c r="B173" s="225"/>
      <c r="C173" s="253"/>
      <c r="D173" s="253"/>
      <c r="E173"/>
      <c r="F173"/>
      <c r="G173"/>
      <c r="H173"/>
      <c r="I173"/>
      <c r="J173"/>
      <c r="K173"/>
      <c r="L173"/>
      <c r="M173"/>
      <c r="N173"/>
      <c r="O173"/>
      <c r="T173" s="244"/>
    </row>
    <row r="174" spans="1:20" ht="15" customHeight="1" x14ac:dyDescent="0.25">
      <c r="A174" s="251" t="s">
        <v>474</v>
      </c>
      <c r="B174" s="225"/>
      <c r="C174" s="253"/>
      <c r="D174" s="253"/>
      <c r="E174"/>
      <c r="F174"/>
      <c r="G174"/>
      <c r="H174"/>
      <c r="I174"/>
      <c r="J174"/>
      <c r="K174"/>
      <c r="L174"/>
      <c r="M174"/>
      <c r="N174"/>
      <c r="O174"/>
      <c r="T174" s="244"/>
    </row>
    <row r="175" spans="1:20" ht="15" customHeight="1" x14ac:dyDescent="0.25">
      <c r="A175" s="251"/>
      <c r="B175" s="225"/>
      <c r="C175" s="253"/>
      <c r="D175" s="253"/>
      <c r="E175"/>
      <c r="F175"/>
      <c r="G175"/>
      <c r="H175"/>
      <c r="I175"/>
      <c r="J175"/>
      <c r="K175"/>
      <c r="L175"/>
      <c r="M175"/>
      <c r="N175"/>
      <c r="O175"/>
      <c r="R175" s="247">
        <f>IF(R176=1, SUM(R178:R188),IF(SUM(R178:R188)&lt;0.45,0,0))</f>
        <v>0.55000000000000004</v>
      </c>
      <c r="T175" s="244"/>
    </row>
    <row r="176" spans="1:20" ht="15" customHeight="1" x14ac:dyDescent="0.25">
      <c r="A176" s="251"/>
      <c r="B176" s="331"/>
      <c r="C176" s="330"/>
      <c r="D176" s="253"/>
      <c r="E176" s="248" t="s">
        <v>636</v>
      </c>
      <c r="F176"/>
      <c r="G176"/>
      <c r="H176"/>
      <c r="I176" s="338">
        <v>45351</v>
      </c>
      <c r="J176" s="338"/>
      <c r="K176" s="338"/>
      <c r="L176"/>
      <c r="M176"/>
      <c r="N176"/>
      <c r="O176"/>
      <c r="R176" s="245">
        <f>IF(AND(I176&lt;L2,I176&gt;DATE(YEAR(L2)-3,MONTH(L2)-6,DAY(L2))),1,0)</f>
        <v>1</v>
      </c>
      <c r="T176" s="244"/>
    </row>
    <row r="177" spans="1:20" ht="13" thickBot="1" x14ac:dyDescent="0.3">
      <c r="A177" s="251"/>
      <c r="B177" s="225"/>
      <c r="C177" s="253"/>
      <c r="D177" s="253"/>
      <c r="E177"/>
      <c r="F177"/>
      <c r="G177"/>
      <c r="H177"/>
      <c r="I177"/>
      <c r="J177"/>
      <c r="K177"/>
      <c r="L177"/>
      <c r="M177"/>
      <c r="N177"/>
      <c r="O177"/>
      <c r="T177" s="244"/>
    </row>
    <row r="178" spans="1:20" ht="13" thickBot="1" x14ac:dyDescent="0.3">
      <c r="A178" s="251"/>
      <c r="B178" s="354"/>
      <c r="C178" s="253" t="s">
        <v>402</v>
      </c>
      <c r="D178" s="253"/>
      <c r="E178"/>
      <c r="F178"/>
      <c r="G178"/>
      <c r="H178"/>
      <c r="I178"/>
      <c r="J178"/>
      <c r="K178"/>
      <c r="L178"/>
      <c r="M178"/>
      <c r="N178"/>
      <c r="O178"/>
      <c r="R178" s="249">
        <f>IF(COUNTA(B178)=1,0.25,0)</f>
        <v>0</v>
      </c>
      <c r="T178" s="244"/>
    </row>
    <row r="179" spans="1:20" ht="13" thickBot="1" x14ac:dyDescent="0.3">
      <c r="A179" s="251"/>
      <c r="B179" s="225"/>
      <c r="C179" s="253"/>
      <c r="D179" s="253"/>
      <c r="E179"/>
      <c r="F179"/>
      <c r="G179"/>
      <c r="H179"/>
      <c r="I179"/>
      <c r="J179"/>
      <c r="K179"/>
      <c r="L179"/>
      <c r="M179"/>
      <c r="N179"/>
      <c r="O179"/>
      <c r="R179" s="249"/>
      <c r="T179" s="244"/>
    </row>
    <row r="180" spans="1:20" ht="13" thickBot="1" x14ac:dyDescent="0.3">
      <c r="A180" s="251"/>
      <c r="B180" s="354" t="s">
        <v>641</v>
      </c>
      <c r="C180" s="253" t="s">
        <v>403</v>
      </c>
      <c r="D180" s="253"/>
      <c r="E180"/>
      <c r="F180"/>
      <c r="G180"/>
      <c r="H180"/>
      <c r="I180"/>
      <c r="J180"/>
      <c r="K180"/>
      <c r="L180"/>
      <c r="M180"/>
      <c r="N180"/>
      <c r="O180"/>
      <c r="R180" s="249">
        <f>IF(COUNTA(B180)=1,0.2,0)</f>
        <v>0.2</v>
      </c>
      <c r="T180" s="244"/>
    </row>
    <row r="181" spans="1:20" ht="13" thickBot="1" x14ac:dyDescent="0.3">
      <c r="A181" s="251"/>
      <c r="B181" s="225"/>
      <c r="C181" s="253"/>
      <c r="D181" s="253"/>
      <c r="E181"/>
      <c r="F181"/>
      <c r="G181"/>
      <c r="H181"/>
      <c r="I181"/>
      <c r="J181"/>
      <c r="K181"/>
      <c r="L181"/>
      <c r="M181"/>
      <c r="N181"/>
      <c r="O181"/>
      <c r="R181" s="249"/>
      <c r="T181" s="244"/>
    </row>
    <row r="182" spans="1:20" ht="13" thickBot="1" x14ac:dyDescent="0.3">
      <c r="A182" s="251"/>
      <c r="B182" s="354" t="s">
        <v>641</v>
      </c>
      <c r="C182" s="253" t="s">
        <v>404</v>
      </c>
      <c r="D182" s="253"/>
      <c r="E182"/>
      <c r="F182"/>
      <c r="G182"/>
      <c r="H182"/>
      <c r="I182"/>
      <c r="J182"/>
      <c r="K182"/>
      <c r="L182"/>
      <c r="M182"/>
      <c r="N182"/>
      <c r="O182"/>
      <c r="R182" s="249">
        <f>IF(COUNTA(B182)=1,0.2,0)</f>
        <v>0.2</v>
      </c>
      <c r="T182" s="244"/>
    </row>
    <row r="183" spans="1:20" ht="13" thickBot="1" x14ac:dyDescent="0.3">
      <c r="A183" s="251"/>
      <c r="B183" s="225"/>
      <c r="C183" s="253"/>
      <c r="D183" s="253"/>
      <c r="E183"/>
      <c r="F183"/>
      <c r="G183"/>
      <c r="H183"/>
      <c r="I183"/>
      <c r="J183"/>
      <c r="K183"/>
      <c r="L183"/>
      <c r="M183"/>
      <c r="N183"/>
      <c r="O183"/>
      <c r="R183" s="249"/>
      <c r="T183" s="244"/>
    </row>
    <row r="184" spans="1:20" ht="13" thickBot="1" x14ac:dyDescent="0.3">
      <c r="A184" s="251"/>
      <c r="B184" s="354" t="s">
        <v>641</v>
      </c>
      <c r="C184" s="253" t="s">
        <v>405</v>
      </c>
      <c r="D184" s="253"/>
      <c r="E184"/>
      <c r="F184"/>
      <c r="G184"/>
      <c r="H184"/>
      <c r="I184"/>
      <c r="J184"/>
      <c r="K184"/>
      <c r="L184"/>
      <c r="M184"/>
      <c r="N184"/>
      <c r="O184"/>
      <c r="R184" s="249">
        <f>IF(COUNTA(B184)=1,0.15,0)</f>
        <v>0.15</v>
      </c>
      <c r="T184" s="244"/>
    </row>
    <row r="185" spans="1:20" ht="13" thickBot="1" x14ac:dyDescent="0.3">
      <c r="A185" s="251"/>
      <c r="B185" s="225"/>
      <c r="C185" s="253"/>
      <c r="D185" s="253"/>
      <c r="E185"/>
      <c r="F185"/>
      <c r="G185"/>
      <c r="H185"/>
      <c r="I185"/>
      <c r="J185"/>
      <c r="K185"/>
      <c r="L185"/>
      <c r="M185"/>
      <c r="N185"/>
      <c r="O185"/>
      <c r="R185" s="249"/>
      <c r="T185" s="244"/>
    </row>
    <row r="186" spans="1:20" ht="13" thickBot="1" x14ac:dyDescent="0.3">
      <c r="A186" s="251"/>
      <c r="B186" s="354"/>
      <c r="C186" s="253" t="s">
        <v>406</v>
      </c>
      <c r="D186" s="253"/>
      <c r="E186"/>
      <c r="F186"/>
      <c r="G186"/>
      <c r="H186"/>
      <c r="I186"/>
      <c r="J186"/>
      <c r="K186"/>
      <c r="L186"/>
      <c r="M186"/>
      <c r="N186"/>
      <c r="O186"/>
      <c r="R186" s="249">
        <f>IF(COUNTA(B186)=1,0.15,0)</f>
        <v>0</v>
      </c>
      <c r="T186" s="244"/>
    </row>
    <row r="187" spans="1:20" ht="13" thickBot="1" x14ac:dyDescent="0.3">
      <c r="A187" s="251"/>
      <c r="B187" s="225"/>
      <c r="C187" s="253"/>
      <c r="D187" s="253"/>
      <c r="E187"/>
      <c r="F187"/>
      <c r="G187"/>
      <c r="H187"/>
      <c r="I187"/>
      <c r="J187"/>
      <c r="K187"/>
      <c r="L187"/>
      <c r="M187"/>
      <c r="N187"/>
      <c r="O187"/>
      <c r="R187" s="249"/>
      <c r="T187" s="244"/>
    </row>
    <row r="188" spans="1:20" ht="13" thickBot="1" x14ac:dyDescent="0.3">
      <c r="A188" s="251"/>
      <c r="B188" s="354"/>
      <c r="C188" s="253" t="s">
        <v>407</v>
      </c>
      <c r="D188" s="253"/>
      <c r="E188"/>
      <c r="F188"/>
      <c r="G188"/>
      <c r="H188"/>
      <c r="I188"/>
      <c r="J188"/>
      <c r="K188"/>
      <c r="L188"/>
      <c r="M188"/>
      <c r="N188"/>
      <c r="O188"/>
      <c r="R188" s="249">
        <f>IF(COUNTA(B188)=1,0.05,0)</f>
        <v>0</v>
      </c>
      <c r="T188" s="244"/>
    </row>
    <row r="189" spans="1:20" x14ac:dyDescent="0.25">
      <c r="A189" s="251"/>
      <c r="B189" s="225"/>
      <c r="C189" s="253"/>
      <c r="D189" s="253"/>
      <c r="E189"/>
      <c r="F189"/>
      <c r="G189"/>
      <c r="H189"/>
      <c r="I189"/>
      <c r="J189"/>
      <c r="K189"/>
      <c r="L189"/>
      <c r="M189"/>
      <c r="N189"/>
      <c r="O189"/>
      <c r="T189" s="244"/>
    </row>
    <row r="190" spans="1:20" x14ac:dyDescent="0.25">
      <c r="A190" s="255" t="s">
        <v>426</v>
      </c>
      <c r="B190" s="225"/>
      <c r="C190" s="253"/>
      <c r="D190" s="253"/>
      <c r="E190"/>
      <c r="F190"/>
      <c r="G190"/>
      <c r="H190"/>
      <c r="I190"/>
      <c r="J190"/>
      <c r="K190"/>
      <c r="L190"/>
      <c r="M190"/>
      <c r="N190"/>
      <c r="O190"/>
      <c r="R190" s="250" t="str">
        <f>IF(SUM(R193:R196)&gt;0,criteria!I63, criteria!C63)</f>
        <v xml:space="preserve">Compliant </v>
      </c>
      <c r="T190" s="244"/>
    </row>
    <row r="191" spans="1:20" x14ac:dyDescent="0.25">
      <c r="A191" s="255" t="s">
        <v>429</v>
      </c>
      <c r="B191" s="225"/>
      <c r="C191" s="253"/>
      <c r="D191" s="253"/>
      <c r="E191"/>
      <c r="F191"/>
      <c r="G191"/>
      <c r="H191"/>
      <c r="I191"/>
      <c r="J191"/>
      <c r="K191"/>
      <c r="L191"/>
      <c r="M191"/>
      <c r="N191"/>
      <c r="O191"/>
      <c r="R191"/>
      <c r="T191" s="244"/>
    </row>
    <row r="192" spans="1:20" ht="13" thickBot="1" x14ac:dyDescent="0.3">
      <c r="A192" s="251"/>
      <c r="B192" s="225"/>
      <c r="C192" s="253"/>
      <c r="D192" s="253"/>
      <c r="E192"/>
      <c r="F192"/>
      <c r="G192"/>
      <c r="H192"/>
      <c r="I192"/>
      <c r="J192"/>
      <c r="K192"/>
      <c r="L192"/>
      <c r="M192"/>
      <c r="N192"/>
      <c r="O192"/>
      <c r="T192" s="244"/>
    </row>
    <row r="193" spans="1:20" ht="13" thickBot="1" x14ac:dyDescent="0.3">
      <c r="A193" s="251"/>
      <c r="B193" s="354" t="s">
        <v>641</v>
      </c>
      <c r="C193" s="253" t="s">
        <v>410</v>
      </c>
      <c r="D193" s="253"/>
      <c r="E193"/>
      <c r="F193"/>
      <c r="G193"/>
      <c r="H193"/>
      <c r="I193"/>
      <c r="J193"/>
      <c r="K193"/>
      <c r="L193"/>
      <c r="M193"/>
      <c r="N193"/>
      <c r="O193"/>
      <c r="R193" s="245">
        <f>COUNTA(B193)</f>
        <v>1</v>
      </c>
      <c r="T193" s="244"/>
    </row>
    <row r="194" spans="1:20" x14ac:dyDescent="0.25">
      <c r="A194" s="251"/>
      <c r="B194" s="225"/>
      <c r="C194" s="253" t="s">
        <v>411</v>
      </c>
      <c r="D194" s="253"/>
      <c r="E194"/>
      <c r="F194"/>
      <c r="G194"/>
      <c r="H194"/>
      <c r="I194"/>
      <c r="J194"/>
      <c r="K194"/>
      <c r="L194"/>
      <c r="M194"/>
      <c r="N194"/>
      <c r="O194"/>
      <c r="T194" s="244"/>
    </row>
    <row r="195" spans="1:20" ht="13" thickBot="1" x14ac:dyDescent="0.3">
      <c r="A195" s="251"/>
      <c r="B195" s="225"/>
      <c r="C195" s="253"/>
      <c r="D195" s="253"/>
      <c r="E195"/>
      <c r="F195"/>
      <c r="G195"/>
      <c r="H195"/>
      <c r="I195"/>
      <c r="J195"/>
      <c r="K195"/>
      <c r="L195"/>
      <c r="M195"/>
      <c r="N195"/>
      <c r="O195"/>
      <c r="T195" s="244"/>
    </row>
    <row r="196" spans="1:20" ht="13" thickBot="1" x14ac:dyDescent="0.3">
      <c r="A196" s="251"/>
      <c r="B196" s="354" t="s">
        <v>641</v>
      </c>
      <c r="C196" s="253" t="s">
        <v>412</v>
      </c>
      <c r="D196" s="253"/>
      <c r="E196"/>
      <c r="F196"/>
      <c r="G196"/>
      <c r="H196"/>
      <c r="I196"/>
      <c r="J196"/>
      <c r="K196"/>
      <c r="L196"/>
      <c r="M196"/>
      <c r="N196"/>
      <c r="O196"/>
      <c r="R196" s="245">
        <f>COUNTA(B196)</f>
        <v>1</v>
      </c>
      <c r="T196" s="244"/>
    </row>
    <row r="197" spans="1:20" x14ac:dyDescent="0.25">
      <c r="A197" s="251"/>
      <c r="B197" s="225"/>
      <c r="C197" s="253" t="s">
        <v>413</v>
      </c>
      <c r="D197" s="253"/>
      <c r="E197"/>
      <c r="F197"/>
      <c r="G197"/>
      <c r="H197"/>
      <c r="I197"/>
      <c r="J197"/>
      <c r="K197"/>
      <c r="L197"/>
      <c r="M197"/>
      <c r="N197"/>
      <c r="O197"/>
      <c r="T197" s="244"/>
    </row>
    <row r="198" spans="1:20" x14ac:dyDescent="0.25">
      <c r="A198" s="251"/>
      <c r="B198" s="225"/>
      <c r="C198" s="253"/>
      <c r="D198" s="253"/>
      <c r="E198"/>
      <c r="F198"/>
      <c r="G198"/>
      <c r="H198"/>
      <c r="I198"/>
      <c r="J198"/>
      <c r="K198"/>
      <c r="L198"/>
      <c r="M198"/>
      <c r="N198"/>
      <c r="O198"/>
      <c r="T198" s="244"/>
    </row>
    <row r="199" spans="1:20" x14ac:dyDescent="0.25">
      <c r="A199" s="251" t="s">
        <v>498</v>
      </c>
      <c r="B199" s="225"/>
      <c r="C199" s="253"/>
      <c r="D199" s="253"/>
      <c r="E199"/>
      <c r="F199"/>
      <c r="G199"/>
      <c r="H199"/>
      <c r="I199"/>
      <c r="J199"/>
      <c r="K199"/>
      <c r="L199"/>
      <c r="M199"/>
      <c r="N199"/>
      <c r="O199"/>
      <c r="T199" s="244"/>
    </row>
    <row r="200" spans="1:20" x14ac:dyDescent="0.25">
      <c r="A200" s="251" t="s">
        <v>187</v>
      </c>
      <c r="B200" s="225"/>
      <c r="C200" s="253"/>
      <c r="D200" s="253"/>
      <c r="E200"/>
      <c r="F200"/>
      <c r="G200"/>
      <c r="H200"/>
      <c r="I200"/>
      <c r="J200"/>
      <c r="K200"/>
      <c r="L200"/>
      <c r="M200"/>
      <c r="N200"/>
      <c r="O200"/>
      <c r="R200" s="246" t="str">
        <f>IF(R209=3,criteria!I66,IF(R209=2,criteria!G66,IF(R209=1,criteria!E66,criteria!C66)))</f>
        <v xml:space="preserve">Fully Compliant </v>
      </c>
      <c r="T200" s="244"/>
    </row>
    <row r="201" spans="1:20" ht="15" customHeight="1" thickBot="1" x14ac:dyDescent="0.3">
      <c r="A201" s="251"/>
      <c r="B201" s="225"/>
      <c r="C201" s="253"/>
      <c r="D201" s="253"/>
      <c r="E201"/>
      <c r="F201"/>
      <c r="G201"/>
      <c r="H201"/>
      <c r="I201"/>
      <c r="J201"/>
      <c r="K201"/>
      <c r="L201"/>
      <c r="M201"/>
      <c r="N201"/>
      <c r="O201"/>
      <c r="T201" s="244"/>
    </row>
    <row r="202" spans="1:20" ht="15" customHeight="1" thickBot="1" x14ac:dyDescent="0.3">
      <c r="A202" s="251"/>
      <c r="B202" s="354" t="s">
        <v>641</v>
      </c>
      <c r="C202" s="253" t="s">
        <v>266</v>
      </c>
      <c r="D202" s="253"/>
      <c r="E202"/>
      <c r="F202"/>
      <c r="G202"/>
      <c r="H202"/>
      <c r="I202"/>
      <c r="J202"/>
      <c r="K202"/>
      <c r="L202"/>
      <c r="M202"/>
      <c r="N202"/>
      <c r="O202"/>
      <c r="R202" s="245">
        <f>IF(COUNTA(B202)=1,1,0)</f>
        <v>1</v>
      </c>
      <c r="T202" s="244"/>
    </row>
    <row r="203" spans="1:20" ht="15" customHeight="1" x14ac:dyDescent="0.25">
      <c r="A203" s="251"/>
      <c r="B203" s="225"/>
      <c r="C203" s="253" t="s">
        <v>267</v>
      </c>
      <c r="D203" s="253"/>
      <c r="E203"/>
      <c r="F203"/>
      <c r="G203"/>
      <c r="H203"/>
      <c r="I203"/>
      <c r="J203"/>
      <c r="K203"/>
      <c r="L203"/>
      <c r="M203"/>
      <c r="N203"/>
      <c r="O203"/>
      <c r="T203" s="244"/>
    </row>
    <row r="204" spans="1:20" ht="15" customHeight="1" thickBot="1" x14ac:dyDescent="0.3">
      <c r="A204" s="251"/>
      <c r="B204" s="225"/>
      <c r="C204" s="253"/>
      <c r="D204" s="253"/>
      <c r="E204"/>
      <c r="F204"/>
      <c r="G204"/>
      <c r="H204"/>
      <c r="I204"/>
      <c r="J204"/>
      <c r="K204"/>
      <c r="L204"/>
      <c r="M204"/>
      <c r="N204"/>
      <c r="O204"/>
      <c r="T204" s="244"/>
    </row>
    <row r="205" spans="1:20" ht="15" customHeight="1" thickBot="1" x14ac:dyDescent="0.3">
      <c r="A205" s="251"/>
      <c r="B205" s="354" t="s">
        <v>641</v>
      </c>
      <c r="C205" s="253" t="s">
        <v>190</v>
      </c>
      <c r="D205" s="253"/>
      <c r="E205"/>
      <c r="F205"/>
      <c r="G205"/>
      <c r="H205"/>
      <c r="I205"/>
      <c r="J205"/>
      <c r="K205"/>
      <c r="L205"/>
      <c r="M205"/>
      <c r="N205"/>
      <c r="O205"/>
      <c r="R205" s="245">
        <f>IF(COUNTA(B205)=1,1,0)</f>
        <v>1</v>
      </c>
      <c r="T205" s="244"/>
    </row>
    <row r="206" spans="1:20" ht="15" customHeight="1" x14ac:dyDescent="0.25">
      <c r="A206" s="251"/>
      <c r="B206" s="225"/>
      <c r="C206" s="253" t="s">
        <v>417</v>
      </c>
      <c r="D206" s="253"/>
      <c r="E206"/>
      <c r="F206"/>
      <c r="G206"/>
      <c r="H206"/>
      <c r="I206"/>
      <c r="J206"/>
      <c r="K206"/>
      <c r="L206"/>
      <c r="M206"/>
      <c r="N206"/>
      <c r="O206"/>
      <c r="T206" s="244"/>
    </row>
    <row r="207" spans="1:20" ht="15" customHeight="1" thickBot="1" x14ac:dyDescent="0.3">
      <c r="A207" s="251"/>
      <c r="B207" s="225"/>
      <c r="C207" s="253"/>
      <c r="D207" s="253"/>
      <c r="E207"/>
      <c r="F207"/>
      <c r="G207"/>
      <c r="H207"/>
      <c r="I207"/>
      <c r="J207"/>
      <c r="K207"/>
      <c r="L207"/>
      <c r="M207"/>
      <c r="N207"/>
      <c r="O207"/>
      <c r="T207" s="244"/>
    </row>
    <row r="208" spans="1:20" ht="15" customHeight="1" thickBot="1" x14ac:dyDescent="0.3">
      <c r="A208" s="251"/>
      <c r="B208" s="354" t="s">
        <v>641</v>
      </c>
      <c r="C208" s="253" t="s">
        <v>191</v>
      </c>
      <c r="D208" s="253"/>
      <c r="E208"/>
      <c r="F208"/>
      <c r="G208"/>
      <c r="H208"/>
      <c r="I208"/>
      <c r="J208"/>
      <c r="K208"/>
      <c r="L208"/>
      <c r="M208"/>
      <c r="N208"/>
      <c r="O208"/>
      <c r="R208" s="245">
        <f>IF(COUNTA(B208)=1,1,0)</f>
        <v>1</v>
      </c>
      <c r="T208" s="244"/>
    </row>
    <row r="209" spans="1:20" ht="15" customHeight="1" x14ac:dyDescent="0.25">
      <c r="A209" s="251"/>
      <c r="B209" s="225"/>
      <c r="C209" s="253" t="s">
        <v>192</v>
      </c>
      <c r="D209" s="253"/>
      <c r="E209"/>
      <c r="F209"/>
      <c r="G209"/>
      <c r="H209"/>
      <c r="I209"/>
      <c r="J209"/>
      <c r="K209"/>
      <c r="L209"/>
      <c r="M209"/>
      <c r="N209"/>
      <c r="O209"/>
      <c r="R209" s="245">
        <f>SUM(R202:R208)</f>
        <v>3</v>
      </c>
      <c r="T209" s="244"/>
    </row>
    <row r="210" spans="1:20" ht="15" customHeight="1" x14ac:dyDescent="0.25">
      <c r="A210" s="251"/>
      <c r="B210" s="225"/>
      <c r="C210" s="253"/>
      <c r="D210" s="253"/>
      <c r="E210"/>
      <c r="F210"/>
      <c r="G210"/>
      <c r="H210"/>
      <c r="I210"/>
      <c r="J210"/>
      <c r="K210"/>
      <c r="L210"/>
      <c r="M210"/>
      <c r="N210"/>
      <c r="O210"/>
      <c r="T210" s="244"/>
    </row>
    <row r="211" spans="1:20" ht="15" customHeight="1" x14ac:dyDescent="0.25">
      <c r="A211" s="251" t="s">
        <v>499</v>
      </c>
      <c r="B211" s="225"/>
      <c r="C211" s="253"/>
      <c r="D211" s="253"/>
      <c r="E211"/>
      <c r="F211"/>
      <c r="G211"/>
      <c r="H211"/>
      <c r="I211"/>
      <c r="J211"/>
      <c r="K211"/>
      <c r="L211"/>
      <c r="M211"/>
      <c r="N211"/>
      <c r="O211"/>
      <c r="T211" s="244"/>
    </row>
    <row r="212" spans="1:20" ht="15" customHeight="1" x14ac:dyDescent="0.25">
      <c r="A212" s="251" t="s">
        <v>193</v>
      </c>
      <c r="B212" s="225"/>
      <c r="C212" s="253"/>
      <c r="D212" s="253"/>
      <c r="E212"/>
      <c r="F212"/>
      <c r="G212"/>
      <c r="H212"/>
      <c r="I212"/>
      <c r="J212"/>
      <c r="K212"/>
      <c r="L212"/>
      <c r="M212"/>
      <c r="N212"/>
      <c r="O212"/>
      <c r="R212" s="246" t="str">
        <f>IF(R221=3,criteria!I67,IF(R221=2,criteria!G67,IF(R221=1,criteria!E67,criteria!C67)))</f>
        <v xml:space="preserve">Fully Compliant </v>
      </c>
      <c r="T212" s="244"/>
    </row>
    <row r="213" spans="1:20" ht="15" customHeight="1" thickBot="1" x14ac:dyDescent="0.3">
      <c r="A213" s="251"/>
      <c r="B213" s="225"/>
      <c r="C213" s="253"/>
      <c r="D213" s="253"/>
      <c r="E213"/>
      <c r="F213"/>
      <c r="G213"/>
      <c r="H213"/>
      <c r="I213"/>
      <c r="J213"/>
      <c r="K213"/>
      <c r="L213"/>
      <c r="M213"/>
      <c r="N213"/>
      <c r="O213"/>
      <c r="T213" s="244"/>
    </row>
    <row r="214" spans="1:20" ht="15" customHeight="1" thickBot="1" x14ac:dyDescent="0.3">
      <c r="A214" s="251"/>
      <c r="B214" s="354" t="s">
        <v>641</v>
      </c>
      <c r="C214" s="253" t="s">
        <v>188</v>
      </c>
      <c r="D214" s="253"/>
      <c r="E214"/>
      <c r="F214"/>
      <c r="G214"/>
      <c r="H214"/>
      <c r="I214"/>
      <c r="J214"/>
      <c r="K214"/>
      <c r="L214"/>
      <c r="M214"/>
      <c r="N214"/>
      <c r="O214"/>
      <c r="R214" s="245">
        <f>IF(COUNTA(B214)=1,1,0)</f>
        <v>1</v>
      </c>
      <c r="T214" s="244"/>
    </row>
    <row r="215" spans="1:20" ht="15" customHeight="1" x14ac:dyDescent="0.25">
      <c r="A215" s="251"/>
      <c r="B215" s="225"/>
      <c r="C215" s="253" t="s">
        <v>189</v>
      </c>
      <c r="D215" s="253"/>
      <c r="E215"/>
      <c r="F215"/>
      <c r="G215"/>
      <c r="H215"/>
      <c r="I215"/>
      <c r="J215"/>
      <c r="K215"/>
      <c r="L215"/>
      <c r="M215"/>
      <c r="N215"/>
      <c r="O215"/>
      <c r="T215" s="244"/>
    </row>
    <row r="216" spans="1:20" ht="15" customHeight="1" thickBot="1" x14ac:dyDescent="0.3">
      <c r="A216" s="251"/>
      <c r="B216" s="225"/>
      <c r="C216" s="253"/>
      <c r="D216" s="253"/>
      <c r="E216"/>
      <c r="F216"/>
      <c r="G216"/>
      <c r="H216"/>
      <c r="I216"/>
      <c r="J216"/>
      <c r="K216"/>
      <c r="L216"/>
      <c r="M216"/>
      <c r="N216"/>
      <c r="O216"/>
      <c r="T216" s="244"/>
    </row>
    <row r="217" spans="1:20" ht="15" customHeight="1" thickBot="1" x14ac:dyDescent="0.3">
      <c r="A217" s="251"/>
      <c r="B217" s="354" t="s">
        <v>641</v>
      </c>
      <c r="C217" s="253" t="s">
        <v>190</v>
      </c>
      <c r="D217" s="253"/>
      <c r="E217"/>
      <c r="F217"/>
      <c r="G217"/>
      <c r="H217"/>
      <c r="I217"/>
      <c r="J217"/>
      <c r="K217"/>
      <c r="L217"/>
      <c r="M217"/>
      <c r="N217"/>
      <c r="O217"/>
      <c r="R217" s="245">
        <f>IF(COUNTA(B217)=1,1,0)</f>
        <v>1</v>
      </c>
      <c r="T217" s="244"/>
    </row>
    <row r="218" spans="1:20" ht="15" customHeight="1" x14ac:dyDescent="0.25">
      <c r="A218" s="251"/>
      <c r="B218" s="225"/>
      <c r="C218" s="253" t="s">
        <v>417</v>
      </c>
      <c r="D218" s="253"/>
      <c r="E218"/>
      <c r="F218"/>
      <c r="G218"/>
      <c r="H218"/>
      <c r="I218"/>
      <c r="J218"/>
      <c r="K218"/>
      <c r="L218"/>
      <c r="M218"/>
      <c r="N218"/>
      <c r="O218"/>
      <c r="T218" s="244"/>
    </row>
    <row r="219" spans="1:20" ht="15" customHeight="1" thickBot="1" x14ac:dyDescent="0.3">
      <c r="A219" s="251"/>
      <c r="B219" s="225"/>
      <c r="C219" s="253"/>
      <c r="D219" s="253"/>
      <c r="E219"/>
      <c r="F219"/>
      <c r="G219"/>
      <c r="H219"/>
      <c r="I219"/>
      <c r="J219"/>
      <c r="K219"/>
      <c r="L219"/>
      <c r="M219"/>
      <c r="N219"/>
      <c r="O219"/>
      <c r="T219" s="244"/>
    </row>
    <row r="220" spans="1:20" ht="15" customHeight="1" thickBot="1" x14ac:dyDescent="0.3">
      <c r="A220" s="251"/>
      <c r="B220" s="354" t="s">
        <v>641</v>
      </c>
      <c r="C220" s="253" t="s">
        <v>191</v>
      </c>
      <c r="D220" s="253"/>
      <c r="E220"/>
      <c r="F220"/>
      <c r="G220"/>
      <c r="H220"/>
      <c r="I220"/>
      <c r="J220"/>
      <c r="K220"/>
      <c r="L220"/>
      <c r="M220"/>
      <c r="N220"/>
      <c r="O220"/>
      <c r="R220" s="245">
        <f>IF(COUNTA(B220)=1,1,0)</f>
        <v>1</v>
      </c>
      <c r="T220" s="244"/>
    </row>
    <row r="221" spans="1:20" ht="15" customHeight="1" x14ac:dyDescent="0.25">
      <c r="A221" s="251"/>
      <c r="B221" s="225"/>
      <c r="C221" s="253" t="s">
        <v>192</v>
      </c>
      <c r="D221" s="253"/>
      <c r="E221"/>
      <c r="F221"/>
      <c r="G221"/>
      <c r="H221"/>
      <c r="I221"/>
      <c r="J221"/>
      <c r="K221"/>
      <c r="L221"/>
      <c r="M221"/>
      <c r="N221"/>
      <c r="O221"/>
      <c r="R221" s="245">
        <f>SUM(R214:R220)</f>
        <v>3</v>
      </c>
      <c r="T221" s="244"/>
    </row>
    <row r="222" spans="1:20" ht="15" customHeight="1" x14ac:dyDescent="0.25">
      <c r="A222" s="251"/>
      <c r="B222" s="225"/>
      <c r="C222" s="253"/>
      <c r="D222" s="253"/>
      <c r="E222"/>
      <c r="F222"/>
      <c r="G222"/>
      <c r="H222"/>
      <c r="I222"/>
      <c r="J222"/>
      <c r="K222"/>
      <c r="L222"/>
      <c r="M222"/>
      <c r="N222"/>
      <c r="O222"/>
      <c r="T222" s="244"/>
    </row>
    <row r="223" spans="1:20" ht="15" customHeight="1" x14ac:dyDescent="0.25">
      <c r="A223" s="251" t="s">
        <v>500</v>
      </c>
      <c r="B223" s="225"/>
      <c r="C223" s="253"/>
      <c r="D223" s="253"/>
      <c r="E223"/>
      <c r="F223"/>
      <c r="G223"/>
      <c r="H223"/>
      <c r="I223"/>
      <c r="J223"/>
      <c r="K223"/>
      <c r="L223"/>
      <c r="M223"/>
      <c r="N223"/>
      <c r="O223"/>
      <c r="T223" s="244"/>
    </row>
    <row r="224" spans="1:20" x14ac:dyDescent="0.25">
      <c r="A224" s="251" t="s">
        <v>194</v>
      </c>
      <c r="B224" s="225"/>
      <c r="C224" s="253"/>
      <c r="D224" s="253"/>
      <c r="E224"/>
      <c r="F224"/>
      <c r="G224"/>
      <c r="H224"/>
      <c r="I224"/>
      <c r="J224"/>
      <c r="K224"/>
      <c r="L224"/>
      <c r="M224"/>
      <c r="N224"/>
      <c r="O224"/>
      <c r="R224" s="246" t="str">
        <f>IF(R238&gt;2,criteria!I70,IF(R238=2,criteria!G70,IF(R238=1,criteria!E70,criteria!C70)))</f>
        <v xml:space="preserve">Fully Compliant </v>
      </c>
      <c r="T224" s="244"/>
    </row>
    <row r="225" spans="1:20" ht="15" customHeight="1" thickBot="1" x14ac:dyDescent="0.3">
      <c r="A225" s="251"/>
      <c r="B225" s="225"/>
      <c r="C225" s="253"/>
      <c r="D225" s="253"/>
      <c r="E225"/>
      <c r="F225"/>
      <c r="G225"/>
      <c r="H225"/>
      <c r="I225"/>
      <c r="J225"/>
      <c r="K225"/>
      <c r="L225"/>
      <c r="M225"/>
      <c r="N225"/>
      <c r="O225"/>
      <c r="T225" s="244"/>
    </row>
    <row r="226" spans="1:20" ht="15" customHeight="1" thickBot="1" x14ac:dyDescent="0.3">
      <c r="A226" s="251"/>
      <c r="B226" s="354" t="s">
        <v>641</v>
      </c>
      <c r="C226" s="253" t="s">
        <v>514</v>
      </c>
      <c r="D226" s="253"/>
      <c r="E226"/>
      <c r="F226"/>
      <c r="G226"/>
      <c r="H226"/>
      <c r="I226"/>
      <c r="J226"/>
      <c r="K226"/>
      <c r="L226"/>
      <c r="M226"/>
      <c r="N226"/>
      <c r="O226"/>
      <c r="R226" s="245">
        <f>IF(COUNTA(B226)=1,1,0)</f>
        <v>1</v>
      </c>
      <c r="T226" s="244"/>
    </row>
    <row r="227" spans="1:20" ht="15" customHeight="1" x14ac:dyDescent="0.25">
      <c r="A227" s="251"/>
      <c r="B227" s="225"/>
      <c r="C227" s="253"/>
      <c r="D227" s="253"/>
      <c r="E227"/>
      <c r="F227"/>
      <c r="G227"/>
      <c r="H227"/>
      <c r="I227"/>
      <c r="J227"/>
      <c r="K227"/>
      <c r="L227"/>
      <c r="M227"/>
      <c r="N227"/>
      <c r="O227"/>
      <c r="T227" s="244"/>
    </row>
    <row r="228" spans="1:20" ht="15" customHeight="1" x14ac:dyDescent="0.25">
      <c r="A228" s="256" t="s">
        <v>469</v>
      </c>
      <c r="B228" s="225"/>
      <c r="C228" s="253"/>
      <c r="D228" s="253"/>
      <c r="E228"/>
      <c r="F228"/>
      <c r="G228"/>
      <c r="H228"/>
      <c r="I228"/>
      <c r="J228"/>
      <c r="K228"/>
      <c r="L228"/>
      <c r="M228"/>
      <c r="N228"/>
      <c r="O228"/>
      <c r="T228" s="244"/>
    </row>
    <row r="229" spans="1:20" ht="15" customHeight="1" thickBot="1" x14ac:dyDescent="0.3">
      <c r="A229" s="251"/>
      <c r="B229" s="225"/>
      <c r="C229" s="253"/>
      <c r="D229" s="253"/>
      <c r="E229"/>
      <c r="F229"/>
      <c r="G229"/>
      <c r="H229"/>
      <c r="I229"/>
      <c r="J229"/>
      <c r="K229"/>
      <c r="L229"/>
      <c r="M229"/>
      <c r="N229"/>
      <c r="O229"/>
      <c r="R229" s="245">
        <f>IF(SUM(R234:R237)=2,2,IF(COUNTA(F230)=1,2,0))</f>
        <v>2</v>
      </c>
      <c r="T229" s="244"/>
    </row>
    <row r="230" spans="1:20" ht="15" customHeight="1" thickBot="1" x14ac:dyDescent="0.3">
      <c r="A230" s="251"/>
      <c r="B230" s="354" t="s">
        <v>641</v>
      </c>
      <c r="C230" s="253" t="s">
        <v>354</v>
      </c>
      <c r="D230"/>
      <c r="E230"/>
      <c r="F230" s="226"/>
      <c r="G230" s="253" t="s">
        <v>355</v>
      </c>
      <c r="H230"/>
      <c r="I230"/>
      <c r="J230"/>
      <c r="K230"/>
      <c r="L230"/>
      <c r="M230"/>
      <c r="N230"/>
      <c r="O230"/>
      <c r="T230" s="244"/>
    </row>
    <row r="231" spans="1:20" ht="15" customHeight="1" x14ac:dyDescent="0.25">
      <c r="A231" s="251"/>
      <c r="B231" s="225"/>
      <c r="C231" s="253"/>
      <c r="D231" s="253"/>
      <c r="E231"/>
      <c r="F231"/>
      <c r="G231"/>
      <c r="H231"/>
      <c r="I231"/>
      <c r="J231"/>
      <c r="K231"/>
      <c r="L231"/>
      <c r="M231"/>
      <c r="N231"/>
      <c r="O231"/>
      <c r="T231" s="244"/>
    </row>
    <row r="232" spans="1:20" ht="15" customHeight="1" x14ac:dyDescent="0.25">
      <c r="A232" s="258" t="s">
        <v>471</v>
      </c>
      <c r="B232" s="227"/>
      <c r="C232" s="253"/>
      <c r="D232" s="253"/>
      <c r="E232"/>
      <c r="F232"/>
      <c r="G232"/>
      <c r="H232"/>
      <c r="I232"/>
      <c r="J232"/>
      <c r="K232"/>
      <c r="L232"/>
      <c r="M232"/>
      <c r="N232"/>
      <c r="O232"/>
      <c r="T232" s="244"/>
    </row>
    <row r="233" spans="1:20" ht="15" customHeight="1" thickBot="1" x14ac:dyDescent="0.3">
      <c r="A233" s="251"/>
      <c r="B233" s="225"/>
      <c r="C233" s="253"/>
      <c r="D233" s="253"/>
      <c r="E233"/>
      <c r="F233"/>
      <c r="G233"/>
      <c r="H233"/>
      <c r="I233"/>
      <c r="J233"/>
      <c r="K233"/>
      <c r="L233"/>
      <c r="M233"/>
      <c r="N233"/>
      <c r="O233"/>
      <c r="T233" s="244"/>
    </row>
    <row r="234" spans="1:20" ht="15" customHeight="1" thickBot="1" x14ac:dyDescent="0.3">
      <c r="A234" s="251"/>
      <c r="B234" s="354" t="s">
        <v>641</v>
      </c>
      <c r="C234" s="253" t="s">
        <v>195</v>
      </c>
      <c r="D234" s="253"/>
      <c r="E234"/>
      <c r="F234"/>
      <c r="G234"/>
      <c r="H234"/>
      <c r="I234"/>
      <c r="J234"/>
      <c r="K234"/>
      <c r="L234"/>
      <c r="M234"/>
      <c r="N234"/>
      <c r="O234"/>
      <c r="R234" s="245">
        <f>IF(COUNTA(B234,G235)=2,1,0)</f>
        <v>1</v>
      </c>
      <c r="T234" s="244"/>
    </row>
    <row r="235" spans="1:20" ht="15" customHeight="1" x14ac:dyDescent="0.25">
      <c r="A235" s="251"/>
      <c r="B235" s="225"/>
      <c r="C235" s="253" t="s">
        <v>470</v>
      </c>
      <c r="D235" s="253"/>
      <c r="E235"/>
      <c r="F235"/>
      <c r="G235" s="336" t="s">
        <v>652</v>
      </c>
      <c r="H235" s="336"/>
      <c r="I235" s="336"/>
      <c r="J235" s="336"/>
      <c r="K235" s="336"/>
      <c r="L235" s="336"/>
      <c r="M235" s="336"/>
      <c r="N235"/>
      <c r="O235"/>
      <c r="T235" s="244"/>
    </row>
    <row r="236" spans="1:20" ht="15" customHeight="1" thickBot="1" x14ac:dyDescent="0.3">
      <c r="A236" s="251"/>
      <c r="B236" s="225"/>
      <c r="C236" s="253"/>
      <c r="D236" s="253"/>
      <c r="E236"/>
      <c r="F236"/>
      <c r="G236"/>
      <c r="H236"/>
      <c r="I236"/>
      <c r="J236"/>
      <c r="K236"/>
      <c r="L236"/>
      <c r="M236"/>
      <c r="N236"/>
      <c r="O236"/>
      <c r="T236" s="244"/>
    </row>
    <row r="237" spans="1:20" ht="15" customHeight="1" thickBot="1" x14ac:dyDescent="0.3">
      <c r="A237" s="251"/>
      <c r="B237" s="354" t="s">
        <v>641</v>
      </c>
      <c r="C237" s="253" t="s">
        <v>196</v>
      </c>
      <c r="D237" s="253"/>
      <c r="E237"/>
      <c r="F237"/>
      <c r="G237"/>
      <c r="H237"/>
      <c r="I237"/>
      <c r="J237"/>
      <c r="K237"/>
      <c r="L237"/>
      <c r="M237"/>
      <c r="N237"/>
      <c r="O237"/>
      <c r="R237" s="245">
        <f>IF(COUNTA(B237,F239)=2,1,0)</f>
        <v>1</v>
      </c>
      <c r="T237" s="244"/>
    </row>
    <row r="238" spans="1:20" ht="15" customHeight="1" x14ac:dyDescent="0.25">
      <c r="A238" s="251"/>
      <c r="B238" s="225"/>
      <c r="C238" s="253" t="s">
        <v>197</v>
      </c>
      <c r="D238" s="253"/>
      <c r="E238"/>
      <c r="F238"/>
      <c r="G238"/>
      <c r="H238"/>
      <c r="I238"/>
      <c r="J238"/>
      <c r="K238"/>
      <c r="L238"/>
      <c r="M238"/>
      <c r="N238"/>
      <c r="O238"/>
      <c r="R238" s="245">
        <f>SUM(R226:R237)</f>
        <v>5</v>
      </c>
      <c r="T238" s="244"/>
    </row>
    <row r="239" spans="1:20" ht="15" customHeight="1" x14ac:dyDescent="0.25">
      <c r="A239" s="251"/>
      <c r="B239" s="225"/>
      <c r="C239" s="259" t="s">
        <v>510</v>
      </c>
      <c r="D239" s="253"/>
      <c r="E239"/>
      <c r="F239" s="339" t="s">
        <v>652</v>
      </c>
      <c r="G239" s="339"/>
      <c r="H239" s="339"/>
      <c r="I239" s="339"/>
      <c r="J239" s="339"/>
      <c r="K239" s="339"/>
      <c r="L239" s="339"/>
      <c r="M239" s="339"/>
      <c r="N239"/>
      <c r="O239"/>
      <c r="T239" s="244"/>
    </row>
    <row r="240" spans="1:20" ht="15" customHeight="1" x14ac:dyDescent="0.25">
      <c r="A240" s="251"/>
      <c r="B240" s="225"/>
      <c r="C240" s="253"/>
      <c r="D240" s="253"/>
      <c r="E240"/>
      <c r="F240"/>
      <c r="G240"/>
      <c r="H240"/>
      <c r="I240"/>
      <c r="J240"/>
      <c r="K240"/>
      <c r="L240"/>
      <c r="M240"/>
      <c r="N240"/>
      <c r="O240"/>
      <c r="T240" s="244"/>
    </row>
    <row r="241" spans="1:20" hidden="1" x14ac:dyDescent="0.25">
      <c r="A241" s="251" t="s">
        <v>198</v>
      </c>
      <c r="B241" s="225"/>
      <c r="C241" s="253"/>
      <c r="D241" s="253"/>
      <c r="E241"/>
      <c r="F241"/>
      <c r="G241"/>
      <c r="H241"/>
      <c r="I241"/>
      <c r="J241"/>
      <c r="K241"/>
      <c r="L241"/>
      <c r="M241"/>
      <c r="N241"/>
      <c r="O241"/>
      <c r="T241" s="244"/>
    </row>
    <row r="242" spans="1:20" hidden="1" x14ac:dyDescent="0.25">
      <c r="A242" s="251" t="s">
        <v>199</v>
      </c>
      <c r="B242" s="225"/>
      <c r="C242" s="253"/>
      <c r="D242" s="253"/>
      <c r="E242"/>
      <c r="F242"/>
      <c r="G242"/>
      <c r="H242"/>
      <c r="I242"/>
      <c r="J242"/>
      <c r="K242"/>
      <c r="L242"/>
      <c r="M242"/>
      <c r="N242"/>
      <c r="O242"/>
      <c r="R242" s="246" t="str">
        <f>IF(R243=3,criteria!I71,IF(R243=2,criteria!G71,IF(R243=1,criteria!E71,criteria!C71)))</f>
        <v xml:space="preserve">Not Compliant </v>
      </c>
      <c r="T242" s="244"/>
    </row>
    <row r="243" spans="1:20" ht="13" hidden="1" thickBot="1" x14ac:dyDescent="0.3">
      <c r="A243" s="251"/>
      <c r="B243" s="225"/>
      <c r="C243" s="253"/>
      <c r="D243" s="253"/>
      <c r="E243"/>
      <c r="F243"/>
      <c r="G243"/>
      <c r="H243"/>
      <c r="I243"/>
      <c r="J243"/>
      <c r="K243"/>
      <c r="L243"/>
      <c r="M243"/>
      <c r="N243"/>
      <c r="O243"/>
      <c r="R243" s="245">
        <f>SUM(R244:R249)</f>
        <v>0</v>
      </c>
      <c r="T243" s="244"/>
    </row>
    <row r="244" spans="1:20" ht="15" hidden="1" customHeight="1" thickBot="1" x14ac:dyDescent="0.3">
      <c r="A244" s="251"/>
      <c r="B244" s="226"/>
      <c r="C244" s="253" t="s">
        <v>200</v>
      </c>
      <c r="D244" s="253"/>
      <c r="E244"/>
      <c r="F244"/>
      <c r="G244"/>
      <c r="H244"/>
      <c r="I244"/>
      <c r="J244"/>
      <c r="K244"/>
      <c r="L244"/>
      <c r="M244"/>
      <c r="N244"/>
      <c r="O244"/>
      <c r="R244" s="245">
        <f>IF(COUNTA(B244)=1,1,0)</f>
        <v>0</v>
      </c>
      <c r="T244" s="244"/>
    </row>
    <row r="245" spans="1:20" hidden="1" x14ac:dyDescent="0.25">
      <c r="A245" s="251"/>
      <c r="B245" s="225"/>
      <c r="C245" s="253" t="s">
        <v>201</v>
      </c>
      <c r="D245" s="253"/>
      <c r="E245"/>
      <c r="F245"/>
      <c r="G245"/>
      <c r="H245"/>
      <c r="I245"/>
      <c r="J245"/>
      <c r="K245"/>
      <c r="L245"/>
      <c r="M245"/>
      <c r="N245"/>
      <c r="O245"/>
      <c r="T245" s="244"/>
    </row>
    <row r="246" spans="1:20" ht="13" hidden="1" thickBot="1" x14ac:dyDescent="0.3">
      <c r="A246" s="251"/>
      <c r="B246" s="225"/>
      <c r="C246" s="253"/>
      <c r="D246" s="253"/>
      <c r="E246"/>
      <c r="F246"/>
      <c r="G246"/>
      <c r="H246"/>
      <c r="I246"/>
      <c r="J246"/>
      <c r="K246"/>
      <c r="L246"/>
      <c r="M246"/>
      <c r="N246"/>
      <c r="O246"/>
      <c r="T246" s="244"/>
    </row>
    <row r="247" spans="1:20" ht="15" hidden="1" customHeight="1" thickBot="1" x14ac:dyDescent="0.3">
      <c r="A247" s="251"/>
      <c r="B247" s="226"/>
      <c r="C247" s="253" t="s">
        <v>202</v>
      </c>
      <c r="D247" s="253"/>
      <c r="E247"/>
      <c r="F247"/>
      <c r="G247"/>
      <c r="H247"/>
      <c r="I247"/>
      <c r="J247"/>
      <c r="K247"/>
      <c r="L247"/>
      <c r="M247"/>
      <c r="N247"/>
      <c r="O247"/>
      <c r="R247" s="245">
        <f>IF(COUNTA(B247)=1,1,0)</f>
        <v>0</v>
      </c>
      <c r="T247" s="244"/>
    </row>
    <row r="248" spans="1:20" ht="13" hidden="1" thickBot="1" x14ac:dyDescent="0.3">
      <c r="A248" s="251"/>
      <c r="B248" s="225"/>
      <c r="C248" s="253"/>
      <c r="D248" s="253"/>
      <c r="E248"/>
      <c r="F248"/>
      <c r="G248"/>
      <c r="H248"/>
      <c r="I248"/>
      <c r="J248"/>
      <c r="K248"/>
      <c r="L248"/>
      <c r="M248"/>
      <c r="N248"/>
      <c r="O248"/>
      <c r="T248" s="244"/>
    </row>
    <row r="249" spans="1:20" ht="15" hidden="1" customHeight="1" thickBot="1" x14ac:dyDescent="0.3">
      <c r="A249" s="251"/>
      <c r="B249" s="226"/>
      <c r="C249" s="253" t="s">
        <v>203</v>
      </c>
      <c r="D249" s="253"/>
      <c r="E249"/>
      <c r="F249"/>
      <c r="G249"/>
      <c r="H249"/>
      <c r="I249"/>
      <c r="J249"/>
      <c r="K249"/>
      <c r="L249"/>
      <c r="M249"/>
      <c r="N249"/>
      <c r="O249"/>
      <c r="R249" s="245">
        <f>IF(COUNTA(B249)=1,1,0)</f>
        <v>0</v>
      </c>
      <c r="T249" s="244"/>
    </row>
    <row r="250" spans="1:20" hidden="1" x14ac:dyDescent="0.25">
      <c r="A250" s="251"/>
      <c r="B250" s="225"/>
      <c r="C250" s="253"/>
      <c r="D250" s="253"/>
      <c r="E250"/>
      <c r="F250"/>
      <c r="G250"/>
      <c r="H250"/>
      <c r="I250"/>
      <c r="J250"/>
      <c r="K250"/>
      <c r="L250"/>
      <c r="M250"/>
      <c r="N250"/>
      <c r="O250"/>
      <c r="T250" s="244"/>
    </row>
    <row r="251" spans="1:20" x14ac:dyDescent="0.25">
      <c r="A251" s="251" t="s">
        <v>511</v>
      </c>
      <c r="B251" s="225"/>
      <c r="C251" s="253"/>
      <c r="D251" s="253"/>
      <c r="E251"/>
      <c r="F251"/>
      <c r="G251"/>
      <c r="H251"/>
      <c r="I251"/>
      <c r="J251"/>
      <c r="K251"/>
      <c r="L251"/>
      <c r="M251"/>
      <c r="N251"/>
      <c r="O251"/>
      <c r="R251" s="246" t="str">
        <f>IF(OR(R252=0,R252&gt;45),criteria!C72,IF(AND(R252&gt;=38,R252&lt;=45),criteria!E72,IF(AND(R252&gt;=31,R252&lt;=37),criteria!G72,IF(R252&lt;=30,criteria!I72,criteria!C72))))</f>
        <v>On or before 30 days</v>
      </c>
      <c r="T251" s="244"/>
    </row>
    <row r="252" spans="1:20" x14ac:dyDescent="0.25">
      <c r="A252" s="251" t="s">
        <v>512</v>
      </c>
      <c r="B252" s="225"/>
      <c r="C252" s="253"/>
      <c r="D252" s="253"/>
      <c r="E252" s="339">
        <v>7</v>
      </c>
      <c r="F252" s="339"/>
      <c r="G252" s="339"/>
      <c r="H252" s="339"/>
      <c r="I252" s="260" t="s">
        <v>204</v>
      </c>
      <c r="J252"/>
      <c r="K252"/>
      <c r="L252"/>
      <c r="M252"/>
      <c r="N252"/>
      <c r="O252"/>
      <c r="R252" s="245">
        <f>E252</f>
        <v>7</v>
      </c>
      <c r="T252" s="244"/>
    </row>
    <row r="253" spans="1:20" x14ac:dyDescent="0.25">
      <c r="A253" s="251"/>
      <c r="B253" s="225"/>
      <c r="C253" s="253"/>
      <c r="D253" s="253"/>
      <c r="E253"/>
      <c r="F253"/>
      <c r="G253"/>
      <c r="H253"/>
      <c r="I253"/>
      <c r="J253"/>
      <c r="K253"/>
      <c r="L253"/>
      <c r="M253"/>
      <c r="N253"/>
      <c r="O253"/>
      <c r="T253" s="244"/>
    </row>
    <row r="254" spans="1:20" x14ac:dyDescent="0.25">
      <c r="A254" s="251" t="s">
        <v>501</v>
      </c>
      <c r="B254" s="225"/>
      <c r="C254" s="253"/>
      <c r="D254" s="253"/>
      <c r="E254"/>
      <c r="F254"/>
      <c r="G254"/>
      <c r="H254"/>
      <c r="I254"/>
      <c r="J254"/>
      <c r="K254"/>
      <c r="L254"/>
      <c r="M254"/>
      <c r="N254"/>
      <c r="O254"/>
      <c r="T254" s="244"/>
    </row>
    <row r="255" spans="1:20" x14ac:dyDescent="0.25">
      <c r="A255" s="251"/>
      <c r="B255" s="251" t="s">
        <v>482</v>
      </c>
      <c r="C255" s="251"/>
      <c r="D255" s="251"/>
      <c r="E255" s="251"/>
      <c r="F255" s="251"/>
      <c r="G255" s="251"/>
      <c r="H255" s="251"/>
      <c r="I255"/>
      <c r="J255"/>
      <c r="K255"/>
      <c r="L255"/>
      <c r="M255"/>
      <c r="N255"/>
      <c r="O255"/>
      <c r="R255"/>
      <c r="T255" s="244"/>
    </row>
    <row r="256" spans="1:20" x14ac:dyDescent="0.25">
      <c r="A256" s="251"/>
      <c r="B256" s="251" t="s">
        <v>483</v>
      </c>
      <c r="C256" s="251"/>
      <c r="D256" s="251"/>
      <c r="E256" s="251"/>
      <c r="F256" s="251"/>
      <c r="G256" s="251"/>
      <c r="H256" s="251"/>
      <c r="I256"/>
      <c r="J256"/>
      <c r="K256"/>
      <c r="L256"/>
      <c r="M256"/>
      <c r="N256"/>
      <c r="O256"/>
      <c r="T256" s="244"/>
    </row>
    <row r="257" spans="1:20" x14ac:dyDescent="0.25">
      <c r="A257" s="251"/>
      <c r="B257" s="251" t="s">
        <v>484</v>
      </c>
      <c r="C257" s="251"/>
      <c r="D257" s="251"/>
      <c r="E257" s="251"/>
      <c r="F257" s="251"/>
      <c r="G257" s="251"/>
      <c r="H257" s="251"/>
      <c r="I257"/>
      <c r="J257"/>
      <c r="K257"/>
      <c r="L257"/>
      <c r="M257"/>
      <c r="N257"/>
      <c r="O257"/>
      <c r="R257" s="246" t="str">
        <f>IF(SUM(CPMR!C17,CPMR!C26,CPMR!C29)=0,"n/a", IF(R259=3,criteria!I77,IF(AND(R259=2,R262=1),criteria!G77,IF(AND(R259=1,R262=1),criteria!E77,criteria!C77))))</f>
        <v xml:space="preserve">Fully Compliant </v>
      </c>
      <c r="T257" s="244"/>
    </row>
    <row r="258" spans="1:20" x14ac:dyDescent="0.25">
      <c r="A258" s="251"/>
      <c r="B258" s="251" t="s">
        <v>485</v>
      </c>
      <c r="C258" s="251"/>
      <c r="D258" s="251"/>
      <c r="E258" s="251"/>
      <c r="F258" s="251"/>
      <c r="G258" s="251"/>
      <c r="H258" s="251"/>
      <c r="I258"/>
      <c r="J258"/>
      <c r="K258"/>
      <c r="L258"/>
      <c r="M258"/>
      <c r="N258"/>
      <c r="O258"/>
      <c r="T258" s="244"/>
    </row>
    <row r="259" spans="1:20" x14ac:dyDescent="0.25">
      <c r="A259" s="251"/>
      <c r="B259" s="251" t="s">
        <v>486</v>
      </c>
      <c r="C259" s="251"/>
      <c r="D259" s="251"/>
      <c r="E259" s="251"/>
      <c r="F259" s="251"/>
      <c r="G259" s="251"/>
      <c r="H259" s="251"/>
      <c r="I259"/>
      <c r="J259"/>
      <c r="K259"/>
      <c r="L259"/>
      <c r="M259"/>
      <c r="N259"/>
      <c r="O259"/>
      <c r="R259" s="245">
        <f>SUM(R262:R266)</f>
        <v>3</v>
      </c>
      <c r="T259" s="244"/>
    </row>
    <row r="260" spans="1:20" x14ac:dyDescent="0.25">
      <c r="A260" s="251"/>
      <c r="B260" s="251" t="s">
        <v>487</v>
      </c>
      <c r="C260" s="251"/>
      <c r="D260" s="251"/>
      <c r="E260" s="251"/>
      <c r="F260" s="251"/>
      <c r="G260" s="251"/>
      <c r="H260" s="251"/>
      <c r="I260"/>
      <c r="J260"/>
      <c r="K260"/>
      <c r="L260"/>
      <c r="M260"/>
      <c r="N260"/>
      <c r="O260"/>
      <c r="R260"/>
      <c r="T260" s="244"/>
    </row>
    <row r="261" spans="1:20" ht="13" thickBot="1" x14ac:dyDescent="0.3">
      <c r="A261" s="251"/>
      <c r="B261" s="228"/>
      <c r="C261" s="251"/>
      <c r="D261" s="251"/>
      <c r="E261"/>
      <c r="F261"/>
      <c r="G261"/>
      <c r="H261"/>
      <c r="I261"/>
      <c r="J261"/>
      <c r="K261"/>
      <c r="L261"/>
      <c r="M261"/>
      <c r="N261"/>
      <c r="O261"/>
      <c r="T261" s="244"/>
    </row>
    <row r="262" spans="1:20" ht="15" customHeight="1" thickBot="1" x14ac:dyDescent="0.3">
      <c r="A262" s="251"/>
      <c r="B262" s="354" t="s">
        <v>641</v>
      </c>
      <c r="C262" s="253" t="s">
        <v>423</v>
      </c>
      <c r="D262" s="253"/>
      <c r="E262"/>
      <c r="F262"/>
      <c r="G262"/>
      <c r="H262"/>
      <c r="I262"/>
      <c r="J262"/>
      <c r="K262"/>
      <c r="L262"/>
      <c r="M262"/>
      <c r="N262"/>
      <c r="O262"/>
      <c r="R262" s="245">
        <f>IF(COUNTA(B262)=1,1,0)</f>
        <v>1</v>
      </c>
      <c r="T262" s="244"/>
    </row>
    <row r="263" spans="1:20" ht="15" customHeight="1" thickBot="1" x14ac:dyDescent="0.3">
      <c r="A263" s="251"/>
      <c r="B263" s="228"/>
      <c r="C263" s="251"/>
      <c r="D263" s="251"/>
      <c r="E263"/>
      <c r="F263"/>
      <c r="G263"/>
      <c r="H263"/>
      <c r="I263"/>
      <c r="J263"/>
      <c r="K263"/>
      <c r="L263"/>
      <c r="M263"/>
      <c r="N263"/>
      <c r="O263"/>
      <c r="T263" s="244"/>
    </row>
    <row r="264" spans="1:20" ht="15" customHeight="1" thickBot="1" x14ac:dyDescent="0.3">
      <c r="A264" s="251"/>
      <c r="B264" s="354" t="s">
        <v>641</v>
      </c>
      <c r="C264" s="253" t="s">
        <v>428</v>
      </c>
      <c r="D264" s="253"/>
      <c r="E264"/>
      <c r="F264"/>
      <c r="G264"/>
      <c r="H264"/>
      <c r="I264"/>
      <c r="J264"/>
      <c r="K264"/>
      <c r="L264"/>
      <c r="M264"/>
      <c r="N264"/>
      <c r="O264"/>
      <c r="R264" s="245">
        <f>IF(COUNTA(B264)=1,1,0)</f>
        <v>1</v>
      </c>
      <c r="T264" s="244"/>
    </row>
    <row r="265" spans="1:20" ht="15" customHeight="1" thickBot="1" x14ac:dyDescent="0.3">
      <c r="A265" s="251"/>
      <c r="B265" s="228"/>
      <c r="C265" s="251"/>
      <c r="D265" s="251"/>
      <c r="E265"/>
      <c r="F265"/>
      <c r="G265"/>
      <c r="H265"/>
      <c r="I265"/>
      <c r="J265"/>
      <c r="K265"/>
      <c r="L265"/>
      <c r="M265"/>
      <c r="N265"/>
      <c r="O265"/>
      <c r="T265" s="244"/>
    </row>
    <row r="266" spans="1:20" ht="15" customHeight="1" thickBot="1" x14ac:dyDescent="0.3">
      <c r="A266" s="251"/>
      <c r="B266" s="354" t="s">
        <v>641</v>
      </c>
      <c r="C266" s="253" t="s">
        <v>427</v>
      </c>
      <c r="D266" s="253"/>
      <c r="E266"/>
      <c r="F266"/>
      <c r="G266"/>
      <c r="H266"/>
      <c r="I266"/>
      <c r="J266"/>
      <c r="K266"/>
      <c r="L266"/>
      <c r="M266"/>
      <c r="N266"/>
      <c r="O266"/>
      <c r="R266" s="245">
        <f>IF(COUNTA(B266)=1,1,0)</f>
        <v>1</v>
      </c>
      <c r="T266" s="244"/>
    </row>
    <row r="267" spans="1:20" x14ac:dyDescent="0.25">
      <c r="A267" s="251"/>
      <c r="B267" s="228"/>
      <c r="C267" s="251"/>
      <c r="D267" s="251"/>
      <c r="E267"/>
      <c r="F267"/>
      <c r="G267"/>
      <c r="H267"/>
      <c r="I267"/>
      <c r="J267"/>
      <c r="K267"/>
      <c r="L267"/>
      <c r="M267"/>
      <c r="N267"/>
      <c r="O267"/>
      <c r="T267" s="244"/>
    </row>
    <row r="268" spans="1:20" x14ac:dyDescent="0.25">
      <c r="A268" s="251" t="s">
        <v>502</v>
      </c>
      <c r="B268" s="225"/>
      <c r="C268" s="253"/>
      <c r="D268" s="253"/>
      <c r="E268"/>
      <c r="F268"/>
      <c r="G268"/>
      <c r="H268"/>
      <c r="I268"/>
      <c r="J268"/>
      <c r="K268"/>
      <c r="L268"/>
      <c r="M268"/>
      <c r="N268"/>
      <c r="O268"/>
      <c r="T268" s="244"/>
    </row>
    <row r="269" spans="1:20" x14ac:dyDescent="0.25">
      <c r="A269" s="251" t="s">
        <v>433</v>
      </c>
      <c r="B269" s="225"/>
      <c r="C269" s="253"/>
      <c r="D269" s="253"/>
      <c r="E269"/>
      <c r="F269"/>
      <c r="G269"/>
      <c r="H269"/>
      <c r="I269"/>
      <c r="J269"/>
      <c r="K269"/>
      <c r="L269"/>
      <c r="M269"/>
      <c r="N269"/>
      <c r="O269"/>
      <c r="R269" s="246" t="str">
        <f>IF(R277=3,criteria!I81,IF(AND(R277=2,R271=1),criteria!G81,IF(AND(R277=1,R271=1),criteria!E81,criteria!C81)))</f>
        <v xml:space="preserve">Fully Compliant </v>
      </c>
      <c r="T269" s="244"/>
    </row>
    <row r="270" spans="1:20" ht="15" customHeight="1" thickBot="1" x14ac:dyDescent="0.3">
      <c r="A270" s="251"/>
      <c r="B270" s="225"/>
      <c r="C270" s="253"/>
      <c r="D270" s="253"/>
      <c r="E270"/>
      <c r="F270"/>
      <c r="G270"/>
      <c r="H270"/>
      <c r="I270"/>
      <c r="J270"/>
      <c r="K270"/>
      <c r="L270"/>
      <c r="M270"/>
      <c r="N270"/>
      <c r="O270"/>
      <c r="T270" s="244"/>
    </row>
    <row r="271" spans="1:20" ht="15" customHeight="1" thickBot="1" x14ac:dyDescent="0.3">
      <c r="A271" s="251"/>
      <c r="B271" s="354" t="s">
        <v>641</v>
      </c>
      <c r="C271" s="253" t="s">
        <v>434</v>
      </c>
      <c r="D271" s="253"/>
      <c r="E271"/>
      <c r="F271"/>
      <c r="G271"/>
      <c r="H271"/>
      <c r="I271"/>
      <c r="J271"/>
      <c r="K271"/>
      <c r="L271"/>
      <c r="M271"/>
      <c r="N271"/>
      <c r="O271"/>
      <c r="R271" s="245">
        <f>IF(COUNTA(B271,I272)=2,1,0)</f>
        <v>1</v>
      </c>
      <c r="T271" s="244"/>
    </row>
    <row r="272" spans="1:20" ht="15" customHeight="1" x14ac:dyDescent="0.25">
      <c r="A272" s="251"/>
      <c r="B272" s="225"/>
      <c r="C272" s="257" t="s">
        <v>488</v>
      </c>
      <c r="D272" s="253"/>
      <c r="E272"/>
      <c r="F272"/>
      <c r="G272"/>
      <c r="H272"/>
      <c r="I272" s="336" t="s">
        <v>653</v>
      </c>
      <c r="J272" s="336"/>
      <c r="K272" s="336"/>
      <c r="L272" s="336"/>
      <c r="M272" s="336"/>
      <c r="N272"/>
      <c r="O272"/>
      <c r="T272" s="244"/>
    </row>
    <row r="273" spans="1:20" ht="15" customHeight="1" thickBot="1" x14ac:dyDescent="0.3">
      <c r="A273" s="251"/>
      <c r="B273" s="225"/>
      <c r="C273" s="253"/>
      <c r="D273" s="253"/>
      <c r="E273"/>
      <c r="F273"/>
      <c r="G273"/>
      <c r="H273"/>
      <c r="I273"/>
      <c r="J273"/>
      <c r="K273"/>
      <c r="L273"/>
      <c r="M273"/>
      <c r="N273"/>
      <c r="O273"/>
      <c r="T273" s="244"/>
    </row>
    <row r="274" spans="1:20" ht="15" customHeight="1" thickBot="1" x14ac:dyDescent="0.3">
      <c r="A274" s="251"/>
      <c r="B274" s="354" t="s">
        <v>641</v>
      </c>
      <c r="C274" s="253" t="s">
        <v>435</v>
      </c>
      <c r="D274" s="253"/>
      <c r="E274"/>
      <c r="F274"/>
      <c r="G274"/>
      <c r="H274"/>
      <c r="I274"/>
      <c r="J274"/>
      <c r="K274"/>
      <c r="L274"/>
      <c r="M274"/>
      <c r="N274"/>
      <c r="O274"/>
      <c r="R274" s="245">
        <f>IF(COUNTA(B274)=1,1,0)</f>
        <v>1</v>
      </c>
      <c r="T274" s="244"/>
    </row>
    <row r="275" spans="1:20" ht="15" customHeight="1" thickBot="1" x14ac:dyDescent="0.3">
      <c r="A275" s="251"/>
      <c r="B275" s="225"/>
      <c r="C275" s="253"/>
      <c r="D275" s="253"/>
      <c r="E275"/>
      <c r="F275"/>
      <c r="G275"/>
      <c r="H275"/>
      <c r="I275"/>
      <c r="J275"/>
      <c r="K275"/>
      <c r="L275"/>
      <c r="M275"/>
      <c r="N275"/>
      <c r="O275"/>
      <c r="T275" s="244"/>
    </row>
    <row r="276" spans="1:20" ht="15" customHeight="1" thickBot="1" x14ac:dyDescent="0.3">
      <c r="A276" s="251"/>
      <c r="B276" s="354" t="s">
        <v>641</v>
      </c>
      <c r="C276" s="253" t="s">
        <v>437</v>
      </c>
      <c r="D276" s="253"/>
      <c r="E276"/>
      <c r="F276"/>
      <c r="G276"/>
      <c r="H276"/>
      <c r="I276"/>
      <c r="J276"/>
      <c r="K276"/>
      <c r="L276"/>
      <c r="M276"/>
      <c r="N276"/>
      <c r="O276"/>
      <c r="R276" s="245">
        <f>IF(COUNTA(B276)=1,1,0)</f>
        <v>1</v>
      </c>
      <c r="T276" s="244"/>
    </row>
    <row r="277" spans="1:20" ht="15" customHeight="1" x14ac:dyDescent="0.25">
      <c r="A277" s="251"/>
      <c r="B277" s="225"/>
      <c r="C277" s="253" t="s">
        <v>436</v>
      </c>
      <c r="D277" s="253"/>
      <c r="E277"/>
      <c r="F277"/>
      <c r="G277"/>
      <c r="H277"/>
      <c r="I277"/>
      <c r="J277"/>
      <c r="K277"/>
      <c r="L277"/>
      <c r="M277"/>
      <c r="N277"/>
      <c r="O277"/>
      <c r="R277" s="245">
        <f>SUM(R271:R276)</f>
        <v>3</v>
      </c>
      <c r="T277" s="244"/>
    </row>
    <row r="278" spans="1:20" x14ac:dyDescent="0.25">
      <c r="A278" s="251"/>
      <c r="B278" s="225"/>
      <c r="C278" s="253"/>
      <c r="D278" s="253"/>
      <c r="E278"/>
      <c r="F278"/>
      <c r="G278"/>
      <c r="H278"/>
      <c r="I278"/>
      <c r="J278"/>
      <c r="K278"/>
      <c r="L278"/>
      <c r="M278"/>
      <c r="N278"/>
      <c r="O278"/>
      <c r="T278" s="244"/>
    </row>
    <row r="279" spans="1:20" x14ac:dyDescent="0.25">
      <c r="A279" s="251" t="s">
        <v>503</v>
      </c>
      <c r="B279" s="225"/>
      <c r="C279" s="253"/>
      <c r="D279" s="253"/>
      <c r="E279"/>
      <c r="F279"/>
      <c r="G279"/>
      <c r="H279"/>
      <c r="I279"/>
      <c r="J279"/>
      <c r="K279"/>
      <c r="L279"/>
      <c r="M279"/>
      <c r="N279"/>
      <c r="O279"/>
      <c r="R279"/>
      <c r="T279" s="244"/>
    </row>
    <row r="280" spans="1:20" x14ac:dyDescent="0.25">
      <c r="A280" s="251" t="s">
        <v>205</v>
      </c>
      <c r="B280" s="225"/>
      <c r="C280" s="253"/>
      <c r="D280" s="253"/>
      <c r="E280"/>
      <c r="F280"/>
      <c r="G280"/>
      <c r="H280"/>
      <c r="I280"/>
      <c r="J280"/>
      <c r="K280"/>
      <c r="L280"/>
      <c r="M280"/>
      <c r="N280"/>
      <c r="O280"/>
      <c r="R280" s="250" t="str">
        <f>IF(OR(COUNTA(B285)=1,D283&gt;=90),criteria!I82,IF(D283&gt;=71,criteria!G82,IF(D283&gt;=60,criteria!E82,IF(D283&lt;60,criteria!C82))))</f>
        <v>Above 90-100%  compliance</v>
      </c>
      <c r="T280" s="244"/>
    </row>
    <row r="281" spans="1:20" ht="13" thickBot="1" x14ac:dyDescent="0.3">
      <c r="A281" s="251"/>
      <c r="B281" s="225"/>
      <c r="C281" s="253"/>
      <c r="D281" s="253"/>
      <c r="E281"/>
      <c r="F281"/>
      <c r="G281"/>
      <c r="H281"/>
      <c r="I281"/>
      <c r="J281"/>
      <c r="K281"/>
      <c r="L281"/>
      <c r="M281"/>
      <c r="N281"/>
      <c r="O281"/>
      <c r="T281" s="244"/>
    </row>
    <row r="282" spans="1:20" ht="15" customHeight="1" thickBot="1" x14ac:dyDescent="0.3">
      <c r="A282" s="251"/>
      <c r="B282" s="356" t="s">
        <v>641</v>
      </c>
      <c r="C282" s="253" t="s">
        <v>265</v>
      </c>
      <c r="D282" s="253"/>
      <c r="E282"/>
      <c r="F282"/>
      <c r="G282"/>
      <c r="H282"/>
      <c r="I282"/>
      <c r="J282"/>
      <c r="K282"/>
      <c r="L282"/>
      <c r="M282"/>
      <c r="N282"/>
      <c r="O282"/>
      <c r="T282" s="244"/>
    </row>
    <row r="283" spans="1:20" x14ac:dyDescent="0.25">
      <c r="A283" s="251"/>
      <c r="B283" s="225"/>
      <c r="C283" s="253"/>
      <c r="D283" s="319">
        <v>100</v>
      </c>
      <c r="E283" t="s">
        <v>206</v>
      </c>
      <c r="F283"/>
      <c r="G283"/>
      <c r="H283"/>
      <c r="I283"/>
      <c r="J283"/>
      <c r="K283"/>
      <c r="L283"/>
      <c r="M283"/>
      <c r="N283"/>
      <c r="O283"/>
      <c r="T283" s="244"/>
    </row>
    <row r="284" spans="1:20" ht="13" thickBot="1" x14ac:dyDescent="0.3">
      <c r="A284" s="251"/>
      <c r="B284" s="225"/>
      <c r="C284" s="253"/>
      <c r="D284" s="253"/>
      <c r="E284"/>
      <c r="F284"/>
      <c r="G284"/>
      <c r="H284"/>
      <c r="I284"/>
      <c r="J284"/>
      <c r="K284"/>
      <c r="L284"/>
      <c r="M284"/>
      <c r="N284"/>
      <c r="O284"/>
      <c r="T284" s="244"/>
    </row>
    <row r="285" spans="1:20" ht="15" customHeight="1" thickBot="1" x14ac:dyDescent="0.3">
      <c r="A285" s="251"/>
      <c r="B285" s="356" t="s">
        <v>641</v>
      </c>
      <c r="C285" s="253" t="s">
        <v>207</v>
      </c>
      <c r="D285" s="253"/>
      <c r="E285"/>
      <c r="F285"/>
      <c r="G285"/>
      <c r="H285"/>
      <c r="I285"/>
      <c r="J285"/>
      <c r="K285"/>
      <c r="L285"/>
      <c r="M285"/>
      <c r="N285"/>
      <c r="O285"/>
      <c r="T285" s="244"/>
    </row>
    <row r="286" spans="1:20" x14ac:dyDescent="0.25">
      <c r="A286" s="251"/>
      <c r="B286" s="225"/>
      <c r="C286" s="253"/>
      <c r="D286" s="253"/>
      <c r="E286"/>
      <c r="F286"/>
      <c r="G286"/>
      <c r="H286"/>
      <c r="I286"/>
      <c r="J286"/>
      <c r="K286"/>
      <c r="L286"/>
      <c r="M286"/>
      <c r="N286"/>
      <c r="O286"/>
      <c r="T286" s="244"/>
    </row>
    <row r="287" spans="1:20" x14ac:dyDescent="0.25">
      <c r="A287" s="251" t="s">
        <v>504</v>
      </c>
      <c r="B287" s="225"/>
      <c r="C287" s="253"/>
      <c r="D287" s="253"/>
      <c r="E287"/>
      <c r="F287"/>
      <c r="G287"/>
      <c r="H287"/>
      <c r="I287"/>
      <c r="J287"/>
      <c r="K287"/>
      <c r="L287"/>
      <c r="M287"/>
      <c r="N287"/>
      <c r="O287"/>
      <c r="T287" s="244"/>
    </row>
    <row r="288" spans="1:20" x14ac:dyDescent="0.25">
      <c r="A288" s="251" t="s">
        <v>208</v>
      </c>
      <c r="B288" s="225"/>
      <c r="C288" s="253"/>
      <c r="D288" s="253"/>
      <c r="E288"/>
      <c r="F288"/>
      <c r="G288"/>
      <c r="H288"/>
      <c r="I288"/>
      <c r="J288"/>
      <c r="K288"/>
      <c r="L288"/>
      <c r="M288"/>
      <c r="N288"/>
      <c r="O288"/>
      <c r="R288" s="246" t="str">
        <f>IF(R295=3,criteria!I85,IF(R295=2,criteria!G85,IF(R295=1,criteria!E85,criteria!C85)))</f>
        <v>Substantially Compliant</v>
      </c>
      <c r="T288" s="244"/>
    </row>
    <row r="289" spans="1:20" ht="13" thickBot="1" x14ac:dyDescent="0.3">
      <c r="A289" s="251"/>
      <c r="B289" s="225"/>
      <c r="C289" s="253"/>
      <c r="D289" s="253"/>
      <c r="E289"/>
      <c r="F289"/>
      <c r="G289"/>
      <c r="H289"/>
      <c r="I289"/>
      <c r="J289"/>
      <c r="K289"/>
      <c r="L289"/>
      <c r="M289"/>
      <c r="N289"/>
      <c r="O289"/>
      <c r="T289" s="244"/>
    </row>
    <row r="290" spans="1:20" ht="15" customHeight="1" thickBot="1" x14ac:dyDescent="0.3">
      <c r="A290" s="251"/>
      <c r="B290" s="354"/>
      <c r="C290" s="253" t="s">
        <v>441</v>
      </c>
      <c r="D290" s="253"/>
      <c r="E290"/>
      <c r="F290"/>
      <c r="G290"/>
      <c r="H290"/>
      <c r="I290"/>
      <c r="J290"/>
      <c r="K290"/>
      <c r="L290"/>
      <c r="M290"/>
      <c r="N290"/>
      <c r="O290"/>
      <c r="R290" s="245">
        <f>IF(COUNTA(B290)=1,1,0)</f>
        <v>0</v>
      </c>
      <c r="T290" s="244"/>
    </row>
    <row r="291" spans="1:20" ht="13" thickBot="1" x14ac:dyDescent="0.3">
      <c r="A291" s="251"/>
      <c r="B291" s="225"/>
      <c r="C291" s="253"/>
      <c r="D291" s="253"/>
      <c r="E291"/>
      <c r="F291"/>
      <c r="G291"/>
      <c r="H291"/>
      <c r="I291"/>
      <c r="J291"/>
      <c r="K291"/>
      <c r="L291"/>
      <c r="M291"/>
      <c r="N291"/>
      <c r="O291"/>
      <c r="T291" s="244"/>
    </row>
    <row r="292" spans="1:20" ht="15" customHeight="1" thickBot="1" x14ac:dyDescent="0.3">
      <c r="A292" s="251"/>
      <c r="B292" s="354" t="s">
        <v>641</v>
      </c>
      <c r="C292" s="253" t="s">
        <v>467</v>
      </c>
      <c r="D292" s="253"/>
      <c r="E292"/>
      <c r="F292"/>
      <c r="G292"/>
      <c r="H292"/>
      <c r="I292"/>
      <c r="J292"/>
      <c r="K292"/>
      <c r="L292"/>
      <c r="M292"/>
      <c r="N292"/>
      <c r="O292"/>
      <c r="R292" s="245">
        <f>IF(COUNTA(B292)=1,1,0)</f>
        <v>1</v>
      </c>
      <c r="T292" s="244"/>
    </row>
    <row r="293" spans="1:20" ht="13" thickBot="1" x14ac:dyDescent="0.3">
      <c r="A293" s="251"/>
      <c r="B293" s="225"/>
      <c r="C293" s="253"/>
      <c r="D293" s="253"/>
      <c r="E293"/>
      <c r="F293"/>
      <c r="G293"/>
      <c r="H293"/>
      <c r="I293"/>
      <c r="J293"/>
      <c r="K293"/>
      <c r="L293"/>
      <c r="M293"/>
      <c r="N293"/>
      <c r="O293"/>
      <c r="T293" s="244"/>
    </row>
    <row r="294" spans="1:20" ht="15" customHeight="1" thickBot="1" x14ac:dyDescent="0.3">
      <c r="A294" s="251"/>
      <c r="B294" s="354" t="s">
        <v>641</v>
      </c>
      <c r="C294" s="253" t="s">
        <v>209</v>
      </c>
      <c r="D294" s="253"/>
      <c r="E294"/>
      <c r="F294"/>
      <c r="G294"/>
      <c r="H294"/>
      <c r="I294"/>
      <c r="J294"/>
      <c r="K294"/>
      <c r="L294"/>
      <c r="M294"/>
      <c r="N294"/>
      <c r="O294"/>
      <c r="R294" s="245">
        <f>IF(COUNTA(B294)=1,1,0)</f>
        <v>1</v>
      </c>
      <c r="T294" s="244"/>
    </row>
    <row r="295" spans="1:20" x14ac:dyDescent="0.25">
      <c r="A295" s="251"/>
      <c r="B295" s="225"/>
      <c r="C295" s="253" t="s">
        <v>210</v>
      </c>
      <c r="D295" s="253"/>
      <c r="E295"/>
      <c r="F295"/>
      <c r="G295"/>
      <c r="H295"/>
      <c r="I295"/>
      <c r="J295"/>
      <c r="K295"/>
      <c r="L295"/>
      <c r="M295"/>
      <c r="N295"/>
      <c r="O295"/>
      <c r="R295" s="245">
        <f>SUM(R290:R294)</f>
        <v>2</v>
      </c>
      <c r="T295" s="244"/>
    </row>
    <row r="296" spans="1:20" x14ac:dyDescent="0.25">
      <c r="A296" s="251"/>
      <c r="B296" s="225"/>
      <c r="C296" s="253"/>
      <c r="D296" s="253"/>
      <c r="E296"/>
      <c r="F296"/>
      <c r="G296"/>
      <c r="H296"/>
      <c r="I296"/>
      <c r="J296"/>
      <c r="K296"/>
      <c r="L296"/>
      <c r="M296"/>
      <c r="N296"/>
      <c r="O296"/>
      <c r="T296" s="244"/>
    </row>
    <row r="297" spans="1:20" x14ac:dyDescent="0.25">
      <c r="A297" s="251" t="s">
        <v>513</v>
      </c>
      <c r="B297" s="225"/>
      <c r="C297" s="253"/>
      <c r="D297" s="253"/>
      <c r="E297"/>
      <c r="F297"/>
      <c r="G297"/>
      <c r="H297"/>
      <c r="I297"/>
      <c r="J297"/>
      <c r="K297"/>
      <c r="L297"/>
      <c r="M297"/>
      <c r="N297"/>
      <c r="O297"/>
      <c r="T297" s="244"/>
    </row>
    <row r="298" spans="1:20" x14ac:dyDescent="0.25">
      <c r="A298" s="251" t="s">
        <v>211</v>
      </c>
      <c r="B298" s="225"/>
      <c r="C298" s="253"/>
      <c r="D298" s="253"/>
      <c r="E298"/>
      <c r="F298"/>
      <c r="G298"/>
      <c r="H298"/>
      <c r="I298"/>
      <c r="J298"/>
      <c r="K298"/>
      <c r="L298"/>
      <c r="M298"/>
      <c r="N298"/>
      <c r="O298"/>
      <c r="R298" s="246" t="str">
        <f>IF(R305=3,criteria!I88,IF(AND(R305=2,R300=1),criteria!G88,IF(AND(R305=1,R300=1),criteria!E88,criteria!C88)))</f>
        <v xml:space="preserve">Fully Compliant </v>
      </c>
      <c r="T298" s="244"/>
    </row>
    <row r="299" spans="1:20" ht="15" customHeight="1" thickBot="1" x14ac:dyDescent="0.3">
      <c r="A299" s="251"/>
      <c r="B299" s="225"/>
      <c r="C299" s="253"/>
      <c r="D299" s="253"/>
      <c r="E299"/>
      <c r="F299"/>
      <c r="G299"/>
      <c r="H299"/>
      <c r="I299"/>
      <c r="J299"/>
      <c r="K299"/>
      <c r="L299"/>
      <c r="M299"/>
      <c r="N299"/>
      <c r="O299"/>
      <c r="T299" s="244"/>
    </row>
    <row r="300" spans="1:20" ht="15" customHeight="1" thickBot="1" x14ac:dyDescent="0.3">
      <c r="A300" s="251"/>
      <c r="B300" s="354" t="s">
        <v>641</v>
      </c>
      <c r="C300" s="253" t="s">
        <v>444</v>
      </c>
      <c r="D300" s="253"/>
      <c r="E300"/>
      <c r="F300"/>
      <c r="G300"/>
      <c r="H300"/>
      <c r="I300"/>
      <c r="J300"/>
      <c r="K300"/>
      <c r="L300"/>
      <c r="M300"/>
      <c r="N300"/>
      <c r="O300"/>
      <c r="R300" s="245">
        <f>IF(COUNTA(B300)=1,1,0)</f>
        <v>1</v>
      </c>
      <c r="T300" s="244"/>
    </row>
    <row r="301" spans="1:20" ht="15" customHeight="1" thickBot="1" x14ac:dyDescent="0.3">
      <c r="A301" s="251"/>
      <c r="B301" s="225"/>
      <c r="C301" s="253"/>
      <c r="D301" s="253"/>
      <c r="E301"/>
      <c r="F301"/>
      <c r="G301"/>
      <c r="H301"/>
      <c r="I301"/>
      <c r="J301"/>
      <c r="K301"/>
      <c r="L301"/>
      <c r="M301"/>
      <c r="N301"/>
      <c r="O301"/>
      <c r="T301" s="244"/>
    </row>
    <row r="302" spans="1:20" ht="15" customHeight="1" thickBot="1" x14ac:dyDescent="0.3">
      <c r="A302" s="251"/>
      <c r="B302" s="354" t="s">
        <v>641</v>
      </c>
      <c r="C302" s="253" t="s">
        <v>445</v>
      </c>
      <c r="D302" s="253"/>
      <c r="E302"/>
      <c r="F302"/>
      <c r="G302"/>
      <c r="H302"/>
      <c r="I302"/>
      <c r="J302"/>
      <c r="K302"/>
      <c r="L302"/>
      <c r="M302"/>
      <c r="N302"/>
      <c r="O302"/>
      <c r="R302" s="245">
        <f>IF(COUNTA(B302)=1,1,0)</f>
        <v>1</v>
      </c>
      <c r="T302" s="244"/>
    </row>
    <row r="303" spans="1:20" ht="15" customHeight="1" thickBot="1" x14ac:dyDescent="0.3">
      <c r="A303" s="251"/>
      <c r="B303" s="225"/>
      <c r="C303" s="253"/>
      <c r="D303" s="253"/>
      <c r="E303"/>
      <c r="F303"/>
      <c r="G303"/>
      <c r="H303"/>
      <c r="I303"/>
      <c r="J303"/>
      <c r="K303"/>
      <c r="L303"/>
      <c r="M303"/>
      <c r="N303"/>
      <c r="O303"/>
      <c r="T303" s="244"/>
    </row>
    <row r="304" spans="1:20" ht="15" customHeight="1" thickBot="1" x14ac:dyDescent="0.3">
      <c r="A304" s="251"/>
      <c r="B304" s="354" t="s">
        <v>641</v>
      </c>
      <c r="C304" s="253" t="s">
        <v>446</v>
      </c>
      <c r="D304" s="253"/>
      <c r="E304"/>
      <c r="F304"/>
      <c r="G304"/>
      <c r="H304"/>
      <c r="I304"/>
      <c r="J304"/>
      <c r="K304"/>
      <c r="L304"/>
      <c r="M304"/>
      <c r="N304"/>
      <c r="O304"/>
      <c r="R304" s="245">
        <f>IF(COUNTA(B304)=1,1,0)</f>
        <v>1</v>
      </c>
      <c r="T304" s="244"/>
    </row>
    <row r="305" spans="1:20" ht="15" customHeight="1" x14ac:dyDescent="0.25">
      <c r="A305" s="251"/>
      <c r="B305" s="225"/>
      <c r="C305" s="253"/>
      <c r="D305" s="253"/>
      <c r="E305"/>
      <c r="F305"/>
      <c r="G305"/>
      <c r="H305"/>
      <c r="I305"/>
      <c r="J305"/>
      <c r="K305"/>
      <c r="L305"/>
      <c r="M305"/>
      <c r="N305"/>
      <c r="O305"/>
      <c r="R305" s="245">
        <f>SUM(R300:R304)</f>
        <v>3</v>
      </c>
      <c r="T305" s="244"/>
    </row>
    <row r="306" spans="1:20" ht="15" customHeight="1" x14ac:dyDescent="0.25">
      <c r="A306" s="251"/>
      <c r="C306" s="253"/>
      <c r="D306" s="253"/>
      <c r="E306"/>
      <c r="F306"/>
      <c r="G306"/>
      <c r="H306"/>
      <c r="I306"/>
      <c r="J306"/>
      <c r="K306"/>
      <c r="L306"/>
      <c r="M306"/>
      <c r="N306"/>
      <c r="O306"/>
    </row>
    <row r="307" spans="1:20" x14ac:dyDescent="0.25">
      <c r="A307" s="251"/>
      <c r="C307" s="253"/>
      <c r="D307" s="253"/>
      <c r="E307"/>
      <c r="F307"/>
      <c r="G307"/>
      <c r="H307"/>
      <c r="I307"/>
      <c r="J307"/>
      <c r="K307"/>
      <c r="L307"/>
      <c r="M307"/>
      <c r="N307"/>
      <c r="O307"/>
    </row>
    <row r="308" spans="1:20" x14ac:dyDescent="0.25">
      <c r="A308" s="251"/>
      <c r="C308" s="253"/>
      <c r="D308" s="253"/>
      <c r="E308"/>
      <c r="F308"/>
      <c r="G308"/>
      <c r="H308"/>
      <c r="I308"/>
      <c r="J308"/>
      <c r="K308"/>
      <c r="L308"/>
      <c r="M308"/>
      <c r="N308"/>
      <c r="O308"/>
    </row>
    <row r="309" spans="1:20" x14ac:dyDescent="0.25">
      <c r="A309" s="251"/>
      <c r="C309" s="253"/>
      <c r="D309" s="253"/>
      <c r="E309"/>
      <c r="F309"/>
      <c r="G309"/>
      <c r="H309"/>
      <c r="I309"/>
      <c r="J309"/>
      <c r="K309"/>
      <c r="L309"/>
      <c r="M309"/>
      <c r="N309"/>
      <c r="O309"/>
    </row>
    <row r="310" spans="1:20" x14ac:dyDescent="0.25">
      <c r="A310" s="251"/>
      <c r="C310" s="253"/>
      <c r="D310" s="253"/>
      <c r="E310"/>
      <c r="F310"/>
      <c r="G310"/>
      <c r="H310"/>
      <c r="I310"/>
      <c r="J310"/>
      <c r="K310"/>
      <c r="L310"/>
      <c r="M310"/>
      <c r="N310"/>
      <c r="O310"/>
    </row>
    <row r="311" spans="1:20" x14ac:dyDescent="0.25">
      <c r="A311" s="251"/>
      <c r="C311" s="253"/>
      <c r="D311" s="253"/>
      <c r="E311"/>
      <c r="F311"/>
      <c r="G311"/>
      <c r="H311"/>
      <c r="I311"/>
      <c r="J311"/>
      <c r="K311"/>
      <c r="L311"/>
      <c r="M311"/>
      <c r="N311"/>
      <c r="O311"/>
    </row>
    <row r="312" spans="1:20" x14ac:dyDescent="0.25">
      <c r="B312" s="225"/>
    </row>
    <row r="313" spans="1:20" x14ac:dyDescent="0.25">
      <c r="A313" s="251"/>
      <c r="C313" s="253"/>
      <c r="D313" s="253"/>
      <c r="E313"/>
      <c r="F313"/>
      <c r="G313"/>
      <c r="H313"/>
      <c r="I313"/>
      <c r="J313"/>
      <c r="K313"/>
      <c r="L313"/>
      <c r="M313"/>
      <c r="N313"/>
      <c r="O313"/>
    </row>
    <row r="314" spans="1:20" x14ac:dyDescent="0.25">
      <c r="A314" s="251"/>
      <c r="C314" s="253"/>
      <c r="D314" s="253"/>
      <c r="E314"/>
      <c r="F314"/>
      <c r="G314"/>
      <c r="H314"/>
      <c r="I314"/>
      <c r="J314"/>
      <c r="K314"/>
      <c r="L314"/>
      <c r="M314"/>
      <c r="N314"/>
      <c r="O314"/>
    </row>
    <row r="315" spans="1:20" x14ac:dyDescent="0.25">
      <c r="A315" s="251"/>
      <c r="C315" s="253"/>
      <c r="D315" s="253"/>
      <c r="E315"/>
      <c r="F315"/>
      <c r="G315"/>
      <c r="H315"/>
      <c r="I315"/>
      <c r="J315"/>
      <c r="K315"/>
      <c r="L315"/>
      <c r="M315"/>
      <c r="N315"/>
      <c r="O315"/>
    </row>
    <row r="316" spans="1:20" x14ac:dyDescent="0.25">
      <c r="A316" s="251"/>
      <c r="C316" s="253"/>
      <c r="D316" s="253"/>
      <c r="E316"/>
      <c r="F316"/>
      <c r="G316"/>
      <c r="H316"/>
      <c r="I316"/>
      <c r="J316"/>
      <c r="K316"/>
      <c r="L316"/>
      <c r="M316"/>
      <c r="N316"/>
      <c r="O316"/>
    </row>
    <row r="317" spans="1:20" x14ac:dyDescent="0.25">
      <c r="A317" s="251"/>
      <c r="C317" s="253"/>
      <c r="D317" s="253"/>
      <c r="E317"/>
      <c r="F317"/>
      <c r="G317"/>
      <c r="H317"/>
      <c r="I317"/>
      <c r="J317"/>
      <c r="K317"/>
      <c r="L317"/>
      <c r="M317"/>
      <c r="N317"/>
      <c r="O317"/>
    </row>
    <row r="318" spans="1:20" x14ac:dyDescent="0.25">
      <c r="A318" s="251"/>
      <c r="C318" s="253"/>
      <c r="D318" s="253"/>
      <c r="E318"/>
      <c r="F318"/>
      <c r="G318"/>
      <c r="H318"/>
      <c r="I318"/>
      <c r="J318"/>
      <c r="K318"/>
      <c r="L318"/>
      <c r="M318"/>
      <c r="N318"/>
      <c r="O318"/>
    </row>
    <row r="319" spans="1:20" x14ac:dyDescent="0.25">
      <c r="A319" s="251"/>
      <c r="C319" s="253"/>
      <c r="D319" s="253"/>
      <c r="E319"/>
      <c r="F319"/>
      <c r="G319"/>
      <c r="H319"/>
      <c r="I319"/>
      <c r="J319"/>
      <c r="K319"/>
      <c r="L319"/>
      <c r="M319"/>
      <c r="N319"/>
      <c r="O319"/>
    </row>
    <row r="320" spans="1:20" x14ac:dyDescent="0.25">
      <c r="A320" s="251"/>
      <c r="C320" s="253"/>
      <c r="D320" s="253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5">
      <c r="A321" s="251"/>
      <c r="C321" s="253"/>
      <c r="D321" s="253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5">
      <c r="A322" s="251"/>
      <c r="C322" s="253"/>
      <c r="D322" s="253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5">
      <c r="A323" s="251"/>
      <c r="C323" s="253"/>
      <c r="D323" s="253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5">
      <c r="A324" s="251"/>
      <c r="C324" s="253"/>
      <c r="D324" s="253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5">
      <c r="A325" s="251"/>
      <c r="C325" s="253"/>
      <c r="D325" s="253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5">
      <c r="A326" s="251"/>
      <c r="C326" s="253"/>
      <c r="D326" s="253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5">
      <c r="A327" s="251"/>
      <c r="C327" s="253"/>
      <c r="D327" s="253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5">
      <c r="A328" s="251"/>
      <c r="C328" s="253"/>
      <c r="D328" s="253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5">
      <c r="A329" s="251"/>
      <c r="C329" s="253"/>
      <c r="D329" s="253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5">
      <c r="A330" s="251"/>
      <c r="C330" s="253"/>
      <c r="D330" s="253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5">
      <c r="A331" s="251"/>
      <c r="C331" s="253"/>
      <c r="D331" s="253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5">
      <c r="A332" s="251"/>
      <c r="C332" s="253"/>
      <c r="D332" s="253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5">
      <c r="A333" s="251"/>
      <c r="C333" s="253"/>
      <c r="D333" s="253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5">
      <c r="A334" s="251"/>
      <c r="C334" s="253"/>
      <c r="D334" s="253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5">
      <c r="A335" s="251"/>
      <c r="C335" s="253"/>
      <c r="D335" s="253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5">
      <c r="A336" s="251"/>
      <c r="C336" s="253"/>
      <c r="D336" s="253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5">
      <c r="A337" s="251"/>
      <c r="C337" s="253"/>
      <c r="D337" s="253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5">
      <c r="A338" s="251"/>
      <c r="C338" s="253"/>
      <c r="D338" s="253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5">
      <c r="A339" s="251"/>
      <c r="C339" s="253"/>
      <c r="D339" s="253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5">
      <c r="A340" s="251"/>
      <c r="C340" s="253"/>
      <c r="D340" s="253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5">
      <c r="A341" s="251"/>
      <c r="C341" s="253"/>
      <c r="D341" s="253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5">
      <c r="A342" s="251"/>
      <c r="C342" s="253"/>
      <c r="D342" s="253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5">
      <c r="A343" s="251"/>
      <c r="C343" s="253"/>
      <c r="D343" s="253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5">
      <c r="A344" s="251"/>
      <c r="C344" s="253"/>
      <c r="D344" s="253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5">
      <c r="A345" s="251"/>
      <c r="C345" s="253"/>
      <c r="D345" s="253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5">
      <c r="A346" s="251"/>
      <c r="C346" s="253"/>
      <c r="D346" s="253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5">
      <c r="A347" s="251"/>
      <c r="C347" s="253"/>
      <c r="D347" s="253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5">
      <c r="A348" s="251"/>
      <c r="C348" s="253"/>
      <c r="D348" s="253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5">
      <c r="A349" s="251"/>
      <c r="C349" s="253"/>
      <c r="D349" s="253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5">
      <c r="A350" s="251"/>
      <c r="C350" s="253"/>
      <c r="D350" s="253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5">
      <c r="A351" s="251"/>
      <c r="C351" s="253"/>
      <c r="D351" s="253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5">
      <c r="A352" s="251"/>
      <c r="C352" s="253"/>
      <c r="D352" s="253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5">
      <c r="A353" s="251"/>
      <c r="C353" s="253"/>
      <c r="D353" s="253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5">
      <c r="A354" s="251"/>
      <c r="C354" s="253"/>
      <c r="D354" s="253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5">
      <c r="A355" s="251"/>
      <c r="C355" s="253"/>
      <c r="D355" s="253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5">
      <c r="A356" s="251"/>
      <c r="C356" s="253"/>
      <c r="D356" s="253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5">
      <c r="A357" s="251"/>
      <c r="C357" s="253"/>
      <c r="D357" s="253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5">
      <c r="A358" s="251"/>
      <c r="C358" s="253"/>
      <c r="D358" s="253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5">
      <c r="A359" s="251"/>
      <c r="C359" s="253"/>
      <c r="D359" s="253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5">
      <c r="A360" s="251"/>
      <c r="C360" s="253"/>
      <c r="D360" s="253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5">
      <c r="A361" s="251"/>
      <c r="C361" s="253"/>
      <c r="D361" s="253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5">
      <c r="A362" s="251"/>
      <c r="C362" s="253"/>
      <c r="D362" s="253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5">
      <c r="A363" s="251"/>
      <c r="C363" s="253"/>
      <c r="D363" s="253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5">
      <c r="A364" s="251"/>
      <c r="C364" s="253"/>
      <c r="D364" s="253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5">
      <c r="A365" s="251"/>
      <c r="C365" s="253"/>
      <c r="D365" s="253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5">
      <c r="A366" s="251"/>
      <c r="C366" s="253"/>
      <c r="D366" s="253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5">
      <c r="A367" s="251"/>
      <c r="C367" s="253"/>
      <c r="D367" s="253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5">
      <c r="A368" s="251"/>
      <c r="C368" s="253"/>
      <c r="D368" s="253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5">
      <c r="A369" s="251"/>
      <c r="C369" s="253"/>
      <c r="D369" s="253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5">
      <c r="A370" s="251"/>
      <c r="C370" s="253"/>
      <c r="D370" s="253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5">
      <c r="A371" s="251"/>
      <c r="C371" s="253"/>
      <c r="D371" s="253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5">
      <c r="A372" s="251"/>
      <c r="C372" s="253"/>
      <c r="D372" s="253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5">
      <c r="A373" s="251"/>
      <c r="C373" s="253"/>
      <c r="D373" s="253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5">
      <c r="A374" s="251"/>
      <c r="C374" s="253"/>
      <c r="D374" s="253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5">
      <c r="A375" s="251"/>
      <c r="C375" s="253"/>
      <c r="D375" s="253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5">
      <c r="A376" s="251"/>
      <c r="C376" s="253"/>
      <c r="D376" s="253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5">
      <c r="A377" s="251"/>
      <c r="C377" s="253"/>
      <c r="D377" s="253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5">
      <c r="A378" s="251"/>
      <c r="C378" s="253"/>
      <c r="D378" s="253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5">
      <c r="A379" s="251"/>
      <c r="C379" s="253"/>
      <c r="D379" s="253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5">
      <c r="A380" s="251"/>
      <c r="C380" s="253"/>
      <c r="D380" s="253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5">
      <c r="A381" s="251"/>
      <c r="C381" s="253"/>
      <c r="D381" s="253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5">
      <c r="A382" s="251"/>
      <c r="C382" s="253"/>
      <c r="D382" s="253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5">
      <c r="A383" s="251"/>
      <c r="C383" s="253"/>
      <c r="D383" s="253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5">
      <c r="A384" s="251"/>
      <c r="C384" s="253"/>
      <c r="D384" s="253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5">
      <c r="A385" s="251"/>
      <c r="C385" s="253"/>
      <c r="D385" s="253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5">
      <c r="A386" s="251"/>
      <c r="C386" s="253"/>
      <c r="D386" s="253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5">
      <c r="A387" s="251"/>
      <c r="C387" s="253"/>
      <c r="D387" s="253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5">
      <c r="A388" s="251"/>
      <c r="C388" s="253"/>
      <c r="D388" s="253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5">
      <c r="A389" s="251"/>
      <c r="C389" s="253"/>
      <c r="D389" s="253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5">
      <c r="A390" s="251"/>
      <c r="C390" s="253"/>
      <c r="D390" s="253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5">
      <c r="A391" s="251"/>
      <c r="C391" s="253"/>
      <c r="D391" s="253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5">
      <c r="A392" s="251"/>
      <c r="C392" s="253"/>
      <c r="D392" s="253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5">
      <c r="A393" s="251"/>
      <c r="C393" s="253"/>
      <c r="D393" s="253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5">
      <c r="A394" s="251"/>
      <c r="C394" s="253"/>
      <c r="D394" s="253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5">
      <c r="A395" s="251"/>
      <c r="C395" s="253"/>
      <c r="D395" s="253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5">
      <c r="A396" s="251"/>
      <c r="C396" s="253"/>
      <c r="D396" s="253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5">
      <c r="A397" s="251"/>
      <c r="C397" s="253"/>
      <c r="D397" s="253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5">
      <c r="A398" s="251"/>
      <c r="C398" s="253"/>
      <c r="D398" s="253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5">
      <c r="A399" s="251"/>
      <c r="C399" s="253"/>
      <c r="D399" s="253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5">
      <c r="A400" s="251"/>
      <c r="C400" s="253"/>
      <c r="D400" s="253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5">
      <c r="A401" s="251"/>
      <c r="C401" s="253"/>
      <c r="D401" s="253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5">
      <c r="A402" s="251"/>
      <c r="C402" s="253"/>
      <c r="D402" s="253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5">
      <c r="A403" s="251"/>
      <c r="C403" s="253"/>
      <c r="D403" s="253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5">
      <c r="A404" s="251"/>
      <c r="C404" s="253"/>
      <c r="D404" s="253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5">
      <c r="A405" s="251"/>
      <c r="C405" s="253"/>
      <c r="D405" s="253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5">
      <c r="A406" s="251"/>
      <c r="C406" s="253"/>
      <c r="D406" s="253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5">
      <c r="A407" s="251"/>
      <c r="C407" s="253"/>
      <c r="D407" s="253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5">
      <c r="A408" s="251"/>
      <c r="C408" s="253"/>
      <c r="D408" s="253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5">
      <c r="A409" s="251"/>
      <c r="C409" s="253"/>
      <c r="D409" s="253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5">
      <c r="A410" s="251"/>
      <c r="C410" s="253"/>
      <c r="D410" s="253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5">
      <c r="A411" s="251"/>
      <c r="C411" s="253"/>
      <c r="D411" s="253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5">
      <c r="A412" s="251"/>
      <c r="C412" s="253"/>
      <c r="D412" s="253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5">
      <c r="A413" s="251"/>
      <c r="C413" s="253"/>
      <c r="D413" s="253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5">
      <c r="A414" s="251"/>
      <c r="C414" s="253"/>
      <c r="D414" s="253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5">
      <c r="A415" s="251"/>
      <c r="C415" s="253"/>
      <c r="D415" s="253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5">
      <c r="A416" s="251"/>
      <c r="C416" s="253"/>
      <c r="D416" s="253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5">
      <c r="A417" s="251"/>
      <c r="C417" s="253"/>
      <c r="D417" s="253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5">
      <c r="A418" s="251"/>
      <c r="C418" s="253"/>
      <c r="D418" s="253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5">
      <c r="A419" s="251"/>
      <c r="C419" s="253"/>
      <c r="D419" s="253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5">
      <c r="A420" s="251"/>
      <c r="C420" s="253"/>
      <c r="D420" s="253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5">
      <c r="A421" s="251"/>
      <c r="C421" s="253"/>
      <c r="D421" s="253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5">
      <c r="A422" s="251"/>
      <c r="C422" s="253"/>
      <c r="D422" s="253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5">
      <c r="A423" s="251"/>
      <c r="C423" s="253"/>
      <c r="D423" s="253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5">
      <c r="A424" s="251"/>
      <c r="C424" s="253"/>
      <c r="D424" s="253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5">
      <c r="A425" s="251"/>
      <c r="C425" s="253"/>
      <c r="D425" s="253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5">
      <c r="A426" s="251"/>
      <c r="C426" s="253"/>
      <c r="D426" s="253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5">
      <c r="A427" s="251"/>
      <c r="C427" s="253"/>
      <c r="D427" s="253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5">
      <c r="A428" s="251"/>
      <c r="C428" s="253"/>
      <c r="D428" s="253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5">
      <c r="A429" s="251"/>
      <c r="C429" s="253"/>
      <c r="D429" s="253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5">
      <c r="A430" s="251"/>
      <c r="C430" s="253"/>
      <c r="D430" s="253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5">
      <c r="A431" s="251"/>
      <c r="C431" s="253"/>
      <c r="D431" s="253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5">
      <c r="A432" s="251"/>
      <c r="C432" s="253"/>
      <c r="D432" s="253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5">
      <c r="A433" s="251"/>
      <c r="C433" s="253"/>
      <c r="D433" s="253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5">
      <c r="A434" s="251"/>
      <c r="C434" s="253"/>
      <c r="D434" s="253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5">
      <c r="A435" s="251"/>
      <c r="C435" s="253"/>
      <c r="D435" s="253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5">
      <c r="A436" s="251"/>
      <c r="C436" s="253"/>
      <c r="D436" s="253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5">
      <c r="A437" s="251"/>
      <c r="C437" s="253"/>
      <c r="D437" s="253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5">
      <c r="A438" s="251"/>
      <c r="C438" s="253"/>
      <c r="D438" s="253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5">
      <c r="A439" s="251"/>
      <c r="C439" s="253"/>
      <c r="D439" s="253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5">
      <c r="A440" s="251"/>
      <c r="C440" s="253"/>
      <c r="D440" s="253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5">
      <c r="A441" s="251"/>
      <c r="C441" s="253"/>
      <c r="D441" s="253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5">
      <c r="A442" s="251"/>
      <c r="C442" s="253"/>
      <c r="D442" s="253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5">
      <c r="A443" s="251"/>
      <c r="C443" s="253"/>
      <c r="D443" s="253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5">
      <c r="A444" s="251"/>
      <c r="C444" s="253"/>
      <c r="D444" s="253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5">
      <c r="A445" s="251"/>
      <c r="C445" s="253"/>
      <c r="D445" s="253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5">
      <c r="A446" s="251"/>
      <c r="C446" s="253"/>
      <c r="D446" s="253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5">
      <c r="A447" s="251"/>
      <c r="C447" s="253"/>
      <c r="D447" s="253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5">
      <c r="A448" s="251"/>
      <c r="C448" s="253"/>
      <c r="D448" s="253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5">
      <c r="A449" s="251"/>
      <c r="C449" s="253"/>
      <c r="D449" s="253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5">
      <c r="A450" s="251"/>
      <c r="C450" s="253"/>
      <c r="D450" s="253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5">
      <c r="A451" s="251"/>
      <c r="C451" s="253"/>
      <c r="D451" s="253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5">
      <c r="A452" s="251"/>
      <c r="C452" s="253"/>
      <c r="D452" s="253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5">
      <c r="A453" s="251"/>
      <c r="C453" s="253"/>
      <c r="D453" s="253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5">
      <c r="A454" s="251"/>
      <c r="C454" s="253"/>
      <c r="D454" s="253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5">
      <c r="A455" s="251"/>
      <c r="C455" s="253"/>
      <c r="D455" s="253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5">
      <c r="A456" s="251"/>
      <c r="C456" s="253"/>
      <c r="D456" s="253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5">
      <c r="A457" s="251"/>
      <c r="C457" s="253"/>
      <c r="D457" s="253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5">
      <c r="A458" s="251"/>
      <c r="C458" s="253"/>
      <c r="D458" s="253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5">
      <c r="A459" s="251"/>
      <c r="C459" s="253"/>
      <c r="D459" s="253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5">
      <c r="A460" s="251"/>
      <c r="C460" s="253"/>
      <c r="D460" s="253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5">
      <c r="A461" s="251"/>
      <c r="C461" s="253"/>
      <c r="D461" s="253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5">
      <c r="A462" s="251"/>
      <c r="C462" s="253"/>
      <c r="D462" s="253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5">
      <c r="A463" s="251"/>
      <c r="C463" s="253"/>
      <c r="D463" s="253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5">
      <c r="A464" s="251"/>
      <c r="C464" s="253"/>
      <c r="D464" s="253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5">
      <c r="A465" s="251"/>
      <c r="C465" s="253"/>
      <c r="D465" s="253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5">
      <c r="A466" s="251"/>
      <c r="C466" s="253"/>
      <c r="D466" s="253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5">
      <c r="A467" s="251"/>
      <c r="C467" s="253"/>
      <c r="D467" s="253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5">
      <c r="A468" s="251"/>
      <c r="C468" s="253"/>
      <c r="D468" s="253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5">
      <c r="A469" s="251"/>
      <c r="C469" s="253"/>
      <c r="D469" s="253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5">
      <c r="A470" s="251"/>
      <c r="C470" s="253"/>
      <c r="D470" s="253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5">
      <c r="A471" s="251"/>
      <c r="C471" s="253"/>
      <c r="D471" s="253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5">
      <c r="A472" s="251"/>
      <c r="C472" s="253"/>
      <c r="D472" s="253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5">
      <c r="A473" s="251"/>
      <c r="C473" s="253"/>
      <c r="D473" s="253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5">
      <c r="A474" s="251"/>
      <c r="C474" s="253"/>
      <c r="D474" s="253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5">
      <c r="A475" s="251"/>
      <c r="C475" s="253"/>
      <c r="D475" s="253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5">
      <c r="A476" s="251"/>
      <c r="C476" s="253"/>
      <c r="D476" s="253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5">
      <c r="A477" s="251"/>
      <c r="C477" s="253"/>
      <c r="D477" s="253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5">
      <c r="A478" s="251"/>
      <c r="C478" s="253"/>
      <c r="D478" s="253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5">
      <c r="A479" s="251"/>
      <c r="C479" s="253"/>
      <c r="D479" s="253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5">
      <c r="A480" s="251"/>
      <c r="C480" s="253"/>
      <c r="D480" s="253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5">
      <c r="A481" s="251"/>
      <c r="C481" s="253"/>
      <c r="D481" s="253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5">
      <c r="A482" s="251"/>
      <c r="C482" s="253"/>
      <c r="D482" s="253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5">
      <c r="A483" s="251"/>
      <c r="C483" s="253"/>
      <c r="D483" s="253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5">
      <c r="A484" s="251"/>
      <c r="C484" s="253"/>
      <c r="D484" s="253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5">
      <c r="A485" s="251"/>
      <c r="C485" s="253"/>
      <c r="D485" s="253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5">
      <c r="A486" s="251"/>
      <c r="C486" s="253"/>
      <c r="D486" s="253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5">
      <c r="A487" s="251"/>
      <c r="C487" s="253"/>
      <c r="D487" s="253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5">
      <c r="A488" s="251"/>
      <c r="C488" s="253"/>
      <c r="D488" s="253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5">
      <c r="A489" s="251"/>
      <c r="C489" s="253"/>
      <c r="D489" s="253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5">
      <c r="A490" s="251"/>
      <c r="C490" s="253"/>
      <c r="D490" s="253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5">
      <c r="A491" s="251"/>
      <c r="C491" s="253"/>
      <c r="D491" s="253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5">
      <c r="A492" s="251"/>
      <c r="C492" s="253"/>
      <c r="D492" s="253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5">
      <c r="A493" s="251"/>
      <c r="C493" s="253"/>
      <c r="D493" s="253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5">
      <c r="A494" s="251"/>
      <c r="C494" s="253"/>
      <c r="D494" s="253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5">
      <c r="A495" s="251"/>
      <c r="C495" s="253"/>
      <c r="D495" s="253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5">
      <c r="A496" s="251"/>
      <c r="C496" s="253"/>
      <c r="D496" s="253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5">
      <c r="A497" s="251"/>
      <c r="C497" s="253"/>
      <c r="D497" s="253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5">
      <c r="A498" s="251"/>
      <c r="C498" s="253"/>
      <c r="D498" s="253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5">
      <c r="A499" s="251"/>
      <c r="C499" s="253"/>
      <c r="D499" s="253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5">
      <c r="A500" s="251"/>
      <c r="C500" s="253"/>
      <c r="D500" s="253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5">
      <c r="A501" s="251"/>
      <c r="C501" s="253"/>
      <c r="D501" s="253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5">
      <c r="A502" s="251"/>
      <c r="C502" s="253"/>
      <c r="D502" s="253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5">
      <c r="A503" s="251"/>
      <c r="C503" s="253"/>
      <c r="D503" s="253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5">
      <c r="A504" s="251"/>
      <c r="C504" s="253"/>
      <c r="D504" s="253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5">
      <c r="A505" s="251"/>
      <c r="C505" s="253"/>
      <c r="D505" s="253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5">
      <c r="A506" s="251"/>
      <c r="C506" s="253"/>
      <c r="D506" s="253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5">
      <c r="A507" s="251"/>
      <c r="C507" s="253"/>
      <c r="D507" s="253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5">
      <c r="A508" s="251"/>
      <c r="C508" s="253"/>
      <c r="D508" s="253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5">
      <c r="A509" s="251"/>
      <c r="C509" s="253"/>
      <c r="D509" s="253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5">
      <c r="A510" s="251"/>
      <c r="C510" s="253"/>
      <c r="D510" s="253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5">
      <c r="A511" s="251"/>
      <c r="C511" s="253"/>
      <c r="D511" s="253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5">
      <c r="A512" s="251"/>
      <c r="C512" s="253"/>
      <c r="D512" s="253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5">
      <c r="A513" s="251"/>
      <c r="C513" s="253"/>
      <c r="D513" s="253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5">
      <c r="A514" s="251"/>
      <c r="C514" s="253"/>
      <c r="D514" s="253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5">
      <c r="A515" s="251"/>
      <c r="C515" s="253"/>
      <c r="D515" s="253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5">
      <c r="A516" s="251"/>
      <c r="C516" s="253"/>
      <c r="D516" s="253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5">
      <c r="A517" s="251"/>
      <c r="C517" s="253"/>
      <c r="D517" s="253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5">
      <c r="A518" s="251"/>
      <c r="C518" s="253"/>
      <c r="D518" s="253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5">
      <c r="A519" s="251"/>
      <c r="C519" s="253"/>
      <c r="D519" s="253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5">
      <c r="A520" s="251"/>
      <c r="C520" s="253"/>
      <c r="D520" s="253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5">
      <c r="A521" s="251"/>
      <c r="C521" s="253"/>
      <c r="D521" s="253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5">
      <c r="A522" s="251"/>
      <c r="C522" s="253"/>
      <c r="D522" s="253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5">
      <c r="A523" s="251"/>
      <c r="C523" s="253"/>
      <c r="D523" s="253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5">
      <c r="A524" s="251"/>
      <c r="C524" s="253"/>
      <c r="D524" s="253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5">
      <c r="A525" s="251"/>
      <c r="C525" s="253"/>
      <c r="D525" s="253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5">
      <c r="A526" s="251"/>
      <c r="C526" s="253"/>
      <c r="D526" s="253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5">
      <c r="A527" s="251"/>
      <c r="C527" s="253"/>
      <c r="D527" s="253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5">
      <c r="A528" s="251"/>
      <c r="C528" s="253"/>
      <c r="D528" s="253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5">
      <c r="A529" s="251"/>
      <c r="C529" s="253"/>
      <c r="D529" s="253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5">
      <c r="A530" s="251"/>
      <c r="C530" s="253"/>
      <c r="D530" s="253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5">
      <c r="A531" s="251"/>
      <c r="C531" s="253"/>
      <c r="D531" s="253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5">
      <c r="A532" s="251"/>
      <c r="C532" s="253"/>
      <c r="D532" s="253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5">
      <c r="A533" s="251"/>
      <c r="C533" s="253"/>
      <c r="D533" s="253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5">
      <c r="A534" s="251"/>
      <c r="C534" s="253"/>
      <c r="D534" s="253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5">
      <c r="A535" s="251"/>
      <c r="C535" s="253"/>
      <c r="D535" s="253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5">
      <c r="A536" s="251"/>
      <c r="C536" s="253"/>
      <c r="D536" s="253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5">
      <c r="A537" s="251"/>
      <c r="C537" s="253"/>
      <c r="D537" s="253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5">
      <c r="A538" s="251"/>
      <c r="C538" s="253"/>
      <c r="D538" s="253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5">
      <c r="A539" s="251"/>
      <c r="C539" s="253"/>
      <c r="D539" s="253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5">
      <c r="A540" s="251"/>
      <c r="C540" s="253"/>
      <c r="D540" s="253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5">
      <c r="A541" s="251"/>
      <c r="C541" s="253"/>
      <c r="D541" s="253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5">
      <c r="A542" s="251"/>
      <c r="C542" s="253"/>
      <c r="D542" s="253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5">
      <c r="A543" s="251"/>
      <c r="C543" s="253"/>
      <c r="D543" s="253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5">
      <c r="A544" s="251"/>
      <c r="C544" s="253"/>
      <c r="D544" s="253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5">
      <c r="A545" s="251"/>
      <c r="C545" s="253"/>
      <c r="D545" s="253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5">
      <c r="A546" s="251"/>
      <c r="C546" s="253"/>
      <c r="D546" s="253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5">
      <c r="A547" s="251"/>
      <c r="C547" s="253"/>
      <c r="D547" s="253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5">
      <c r="A548" s="251"/>
      <c r="C548" s="253"/>
      <c r="D548" s="253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5">
      <c r="A549" s="251"/>
      <c r="C549" s="253"/>
      <c r="D549" s="253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5">
      <c r="A550" s="251"/>
      <c r="C550" s="253"/>
      <c r="D550" s="253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5">
      <c r="A551" s="251"/>
      <c r="C551" s="253"/>
      <c r="D551" s="253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5">
      <c r="A552" s="251"/>
      <c r="C552" s="253"/>
      <c r="D552" s="253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5">
      <c r="A553" s="251"/>
      <c r="C553" s="253"/>
      <c r="D553" s="253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5">
      <c r="A554" s="251"/>
      <c r="C554" s="253"/>
      <c r="D554" s="253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5">
      <c r="A555" s="251"/>
      <c r="C555" s="253"/>
      <c r="D555" s="253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5">
      <c r="A556" s="251"/>
      <c r="C556" s="253"/>
      <c r="D556" s="253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5">
      <c r="A557" s="251"/>
      <c r="C557" s="253"/>
      <c r="D557" s="253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5">
      <c r="A558" s="251"/>
      <c r="C558" s="253"/>
      <c r="D558" s="253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5">
      <c r="A559" s="251"/>
      <c r="C559" s="253"/>
      <c r="D559" s="253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5">
      <c r="A560" s="251"/>
      <c r="C560" s="253"/>
      <c r="D560" s="253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5">
      <c r="A561" s="251"/>
      <c r="C561" s="253"/>
      <c r="D561" s="253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5">
      <c r="A562" s="251"/>
      <c r="C562" s="253"/>
      <c r="D562" s="253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5">
      <c r="A563" s="251"/>
      <c r="C563" s="253"/>
      <c r="D563" s="253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5">
      <c r="A564" s="251"/>
      <c r="C564" s="253"/>
      <c r="D564" s="253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5">
      <c r="A565" s="251"/>
      <c r="C565" s="253"/>
      <c r="D565" s="253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5">
      <c r="A566" s="251"/>
      <c r="C566" s="253"/>
      <c r="D566" s="253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5">
      <c r="A567" s="251"/>
      <c r="C567" s="253"/>
      <c r="D567" s="253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5">
      <c r="A568" s="251"/>
      <c r="C568" s="253"/>
      <c r="D568" s="253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5">
      <c r="A569" s="251"/>
      <c r="C569" s="253"/>
      <c r="D569" s="253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5">
      <c r="A570" s="251"/>
      <c r="C570" s="253"/>
      <c r="D570" s="253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5">
      <c r="A571" s="251"/>
      <c r="C571" s="253"/>
      <c r="D571" s="253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5">
      <c r="A572" s="251"/>
      <c r="C572" s="253"/>
      <c r="D572" s="253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5">
      <c r="A573" s="251"/>
      <c r="C573" s="253"/>
      <c r="D573" s="253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5">
      <c r="A574" s="251"/>
      <c r="C574" s="253"/>
      <c r="D574" s="253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5">
      <c r="A575" s="251"/>
      <c r="C575" s="253"/>
      <c r="D575" s="253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5">
      <c r="A576" s="251"/>
      <c r="C576" s="253"/>
      <c r="D576" s="253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5">
      <c r="A577" s="251"/>
      <c r="C577" s="253"/>
      <c r="D577" s="253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5">
      <c r="A578" s="251"/>
      <c r="C578" s="253"/>
      <c r="D578" s="253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5">
      <c r="A579" s="251"/>
      <c r="C579" s="253"/>
      <c r="D579" s="253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5">
      <c r="A580" s="251"/>
      <c r="C580" s="253"/>
      <c r="D580" s="253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5">
      <c r="A581" s="251"/>
      <c r="C581" s="253"/>
      <c r="D581" s="253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5">
      <c r="A582" s="251"/>
      <c r="C582" s="253"/>
      <c r="D582" s="253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5">
      <c r="A583" s="251"/>
      <c r="C583" s="253"/>
      <c r="D583" s="253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5">
      <c r="A584" s="251"/>
      <c r="C584" s="253"/>
      <c r="D584" s="253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5">
      <c r="A585" s="251"/>
      <c r="C585" s="253"/>
      <c r="D585" s="253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5">
      <c r="A586" s="251"/>
      <c r="C586" s="253"/>
      <c r="D586" s="253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5">
      <c r="A587" s="251"/>
      <c r="C587" s="253"/>
      <c r="D587" s="253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5">
      <c r="A588" s="251"/>
      <c r="C588" s="253"/>
      <c r="D588" s="253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5">
      <c r="A589" s="251"/>
      <c r="C589" s="253"/>
      <c r="D589" s="253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5">
      <c r="A590" s="251"/>
      <c r="C590" s="253"/>
      <c r="D590" s="253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5">
      <c r="A591" s="251"/>
      <c r="C591" s="253"/>
      <c r="D591" s="253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5">
      <c r="A592" s="251"/>
      <c r="C592" s="253"/>
      <c r="D592" s="253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5">
      <c r="A593" s="251"/>
      <c r="C593" s="253"/>
      <c r="D593" s="253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5">
      <c r="A594" s="251"/>
      <c r="C594" s="253"/>
      <c r="D594" s="253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5">
      <c r="A595" s="251"/>
      <c r="C595" s="253"/>
      <c r="D595" s="253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5">
      <c r="A596" s="251"/>
      <c r="C596" s="253"/>
      <c r="D596" s="253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5">
      <c r="A597" s="251"/>
      <c r="C597" s="253"/>
      <c r="D597" s="253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5">
      <c r="A598" s="251"/>
      <c r="C598" s="253"/>
      <c r="D598" s="253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5">
      <c r="A599" s="251"/>
      <c r="C599" s="253"/>
      <c r="D599" s="253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5">
      <c r="A600" s="251"/>
      <c r="C600" s="253"/>
      <c r="D600" s="253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5">
      <c r="A601" s="251"/>
      <c r="C601" s="253"/>
      <c r="D601" s="253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5">
      <c r="A602" s="251"/>
      <c r="C602" s="253"/>
      <c r="D602" s="253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5">
      <c r="A603" s="251"/>
      <c r="C603" s="253"/>
      <c r="D603" s="253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5">
      <c r="A604" s="251"/>
      <c r="C604" s="253"/>
      <c r="D604" s="253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5">
      <c r="A605" s="251"/>
      <c r="C605" s="253"/>
      <c r="D605" s="253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5">
      <c r="A606" s="251"/>
      <c r="C606" s="253"/>
      <c r="D606" s="253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5">
      <c r="A607" s="251"/>
      <c r="C607" s="253"/>
      <c r="D607" s="253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5">
      <c r="A608" s="251"/>
      <c r="C608" s="253"/>
      <c r="D608" s="253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5">
      <c r="A609" s="251"/>
      <c r="C609" s="253"/>
      <c r="D609" s="253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5">
      <c r="A610" s="251"/>
      <c r="C610" s="253"/>
      <c r="D610" s="253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5">
      <c r="A611" s="251"/>
      <c r="C611" s="253"/>
      <c r="D611" s="253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5">
      <c r="A612" s="251"/>
      <c r="C612" s="253"/>
      <c r="D612" s="253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5">
      <c r="A613" s="251"/>
      <c r="C613" s="253"/>
      <c r="D613" s="253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5">
      <c r="A614" s="251"/>
      <c r="C614" s="253"/>
      <c r="D614" s="253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5">
      <c r="A615" s="251"/>
      <c r="C615" s="253"/>
      <c r="D615" s="253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5">
      <c r="A616" s="251"/>
      <c r="C616" s="253"/>
      <c r="D616" s="253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5">
      <c r="A617" s="251"/>
      <c r="C617" s="253"/>
      <c r="D617" s="253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5">
      <c r="A618" s="251"/>
      <c r="C618" s="253"/>
      <c r="D618" s="253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5">
      <c r="A619" s="251"/>
      <c r="C619" s="253"/>
      <c r="D619" s="253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5">
      <c r="A620" s="251"/>
      <c r="C620" s="253"/>
      <c r="D620" s="253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5">
      <c r="A621" s="251"/>
      <c r="C621" s="253"/>
      <c r="D621" s="253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5">
      <c r="A622" s="251"/>
      <c r="C622" s="253"/>
      <c r="D622" s="253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5">
      <c r="A623" s="251"/>
      <c r="C623" s="253"/>
      <c r="D623" s="253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5">
      <c r="A624" s="251"/>
      <c r="C624" s="253"/>
      <c r="D624" s="253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5">
      <c r="A625" s="251"/>
      <c r="C625" s="253"/>
      <c r="D625" s="253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5">
      <c r="A626" s="251"/>
      <c r="C626" s="253"/>
      <c r="D626" s="253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5">
      <c r="A627" s="251"/>
      <c r="C627" s="253"/>
      <c r="D627" s="253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5">
      <c r="A628" s="251"/>
      <c r="C628" s="253"/>
      <c r="D628" s="253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5">
      <c r="A629" s="251"/>
      <c r="C629" s="253"/>
      <c r="D629" s="253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5">
      <c r="A630" s="251"/>
      <c r="C630" s="253"/>
      <c r="D630" s="253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5">
      <c r="A631" s="251"/>
      <c r="C631" s="253"/>
      <c r="D631" s="253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5">
      <c r="A632" s="251"/>
      <c r="C632" s="253"/>
      <c r="D632" s="253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5">
      <c r="A633" s="251"/>
      <c r="C633" s="253"/>
      <c r="D633" s="253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5">
      <c r="A634" s="251"/>
      <c r="C634" s="253"/>
      <c r="D634" s="253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5">
      <c r="A635" s="251"/>
      <c r="C635" s="253"/>
      <c r="D635" s="253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5">
      <c r="A636" s="251"/>
      <c r="C636" s="253"/>
      <c r="D636" s="253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5">
      <c r="A637" s="251"/>
      <c r="C637" s="253"/>
      <c r="D637" s="253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5">
      <c r="A638" s="251"/>
      <c r="C638" s="253"/>
      <c r="D638" s="253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5">
      <c r="A639" s="251"/>
      <c r="C639" s="253"/>
      <c r="D639" s="253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5">
      <c r="A640" s="251"/>
      <c r="C640" s="253"/>
      <c r="D640" s="253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5">
      <c r="A641" s="251"/>
      <c r="C641" s="253"/>
      <c r="D641" s="253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5">
      <c r="A642" s="251"/>
      <c r="C642" s="253"/>
      <c r="D642" s="253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5">
      <c r="A643" s="251"/>
      <c r="C643" s="253"/>
      <c r="D643" s="253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5">
      <c r="A644" s="251"/>
      <c r="C644" s="253"/>
      <c r="D644" s="253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5">
      <c r="A645" s="251"/>
      <c r="C645" s="253"/>
      <c r="D645" s="253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5">
      <c r="A646" s="251"/>
      <c r="C646" s="253"/>
      <c r="D646" s="253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5">
      <c r="A647" s="251"/>
      <c r="C647" s="253"/>
      <c r="D647" s="253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5">
      <c r="A648" s="251"/>
      <c r="C648" s="253"/>
      <c r="D648" s="253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5">
      <c r="A649" s="251"/>
      <c r="C649" s="253"/>
      <c r="D649" s="253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5">
      <c r="A650" s="251"/>
      <c r="C650" s="253"/>
      <c r="D650" s="253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5">
      <c r="A651" s="251"/>
      <c r="C651" s="253"/>
      <c r="D651" s="253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5">
      <c r="A652" s="251"/>
      <c r="C652" s="253"/>
      <c r="D652" s="253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5">
      <c r="A653" s="251"/>
      <c r="C653" s="253"/>
      <c r="D653" s="253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5">
      <c r="A654" s="251"/>
      <c r="C654" s="253"/>
      <c r="D654" s="253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5">
      <c r="A655" s="251"/>
      <c r="C655" s="253"/>
      <c r="D655" s="253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5">
      <c r="A656" s="251"/>
      <c r="C656" s="253"/>
      <c r="D656" s="253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5">
      <c r="A657" s="251"/>
      <c r="C657" s="253"/>
      <c r="D657" s="253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5">
      <c r="A658" s="251"/>
      <c r="C658" s="253"/>
      <c r="D658" s="253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5">
      <c r="A659" s="251"/>
      <c r="C659" s="253"/>
      <c r="D659" s="253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5">
      <c r="A660" s="251"/>
      <c r="C660" s="253"/>
      <c r="D660" s="253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5">
      <c r="A661" s="251"/>
      <c r="C661" s="253"/>
      <c r="D661" s="253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5">
      <c r="A662" s="251"/>
      <c r="C662" s="253"/>
      <c r="D662" s="253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5">
      <c r="A663" s="251"/>
      <c r="C663" s="253"/>
      <c r="D663" s="253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5">
      <c r="A664" s="251"/>
      <c r="C664" s="253"/>
      <c r="D664" s="253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5">
      <c r="A665" s="251"/>
      <c r="C665" s="253"/>
      <c r="D665" s="253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5">
      <c r="A666" s="251"/>
      <c r="C666" s="253"/>
      <c r="D666" s="253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5">
      <c r="A667" s="251"/>
      <c r="C667" s="253"/>
      <c r="D667" s="253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5">
      <c r="A668" s="251"/>
      <c r="C668" s="253"/>
      <c r="D668" s="253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5">
      <c r="A669" s="251"/>
      <c r="C669" s="253"/>
      <c r="D669" s="253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5">
      <c r="A670" s="251"/>
      <c r="C670" s="253"/>
      <c r="D670" s="253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5">
      <c r="A671" s="251"/>
      <c r="C671" s="253"/>
      <c r="D671" s="253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5">
      <c r="A672" s="251"/>
      <c r="C672" s="253"/>
      <c r="D672" s="253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5">
      <c r="A673" s="251"/>
      <c r="C673" s="253"/>
      <c r="D673" s="253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5">
      <c r="A674" s="251"/>
      <c r="C674" s="253"/>
      <c r="D674" s="253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5">
      <c r="A675" s="251"/>
      <c r="C675" s="253"/>
      <c r="D675" s="253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5">
      <c r="A676" s="251"/>
      <c r="C676" s="253"/>
      <c r="D676" s="253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5">
      <c r="A677" s="251"/>
      <c r="C677" s="253"/>
      <c r="D677" s="253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5">
      <c r="A678" s="251"/>
      <c r="C678" s="253"/>
      <c r="D678" s="253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5">
      <c r="A679" s="251"/>
      <c r="C679" s="253"/>
      <c r="D679" s="253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5">
      <c r="A680" s="251"/>
      <c r="C680" s="253"/>
      <c r="D680" s="253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5">
      <c r="A681" s="251"/>
      <c r="C681" s="253"/>
      <c r="D681" s="253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5">
      <c r="A682" s="251"/>
      <c r="C682" s="253"/>
      <c r="D682" s="253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5">
      <c r="A683" s="251"/>
      <c r="C683" s="253"/>
      <c r="D683" s="253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5">
      <c r="A684" s="251"/>
      <c r="C684" s="253"/>
      <c r="D684" s="253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5">
      <c r="A685" s="251"/>
      <c r="C685" s="253"/>
      <c r="D685" s="253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5">
      <c r="A686" s="251"/>
      <c r="C686" s="253"/>
      <c r="D686" s="253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5">
      <c r="A687" s="251"/>
      <c r="C687" s="253"/>
      <c r="D687" s="253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5">
      <c r="A688" s="251"/>
      <c r="C688" s="253"/>
      <c r="D688" s="253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5">
      <c r="A689" s="251"/>
      <c r="C689" s="253"/>
      <c r="D689" s="253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5">
      <c r="A690" s="251"/>
      <c r="C690" s="253"/>
      <c r="D690" s="253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5">
      <c r="A691" s="251"/>
      <c r="C691" s="253"/>
      <c r="D691" s="253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5">
      <c r="A692" s="251"/>
      <c r="C692" s="253"/>
      <c r="D692" s="253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5">
      <c r="A693" s="251"/>
      <c r="C693" s="253"/>
      <c r="D693" s="253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5">
      <c r="A694" s="251"/>
      <c r="C694" s="253"/>
      <c r="D694" s="253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5">
      <c r="A695" s="251"/>
      <c r="C695" s="253"/>
      <c r="D695" s="253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5">
      <c r="A696" s="251"/>
      <c r="C696" s="253"/>
      <c r="D696" s="253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5">
      <c r="A697" s="251"/>
      <c r="C697" s="253"/>
      <c r="D697" s="253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5">
      <c r="A698" s="251"/>
      <c r="C698" s="253"/>
      <c r="D698" s="253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5">
      <c r="A699" s="251"/>
      <c r="C699" s="253"/>
      <c r="D699" s="253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5">
      <c r="A700" s="251"/>
      <c r="C700" s="253"/>
      <c r="D700" s="253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5">
      <c r="A701" s="251"/>
      <c r="C701" s="253"/>
      <c r="D701" s="253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5">
      <c r="A702" s="251"/>
      <c r="C702" s="253"/>
      <c r="D702" s="253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5">
      <c r="A703" s="251"/>
      <c r="C703" s="253"/>
      <c r="D703" s="253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5">
      <c r="A704" s="251"/>
      <c r="C704" s="253"/>
      <c r="D704" s="253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5">
      <c r="A705" s="251"/>
      <c r="C705" s="253"/>
      <c r="D705" s="253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5">
      <c r="A706" s="251"/>
      <c r="C706" s="253"/>
      <c r="D706" s="253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5">
      <c r="A707" s="251"/>
      <c r="C707" s="253"/>
      <c r="D707" s="253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5">
      <c r="A708" s="251"/>
      <c r="C708" s="253"/>
      <c r="D708" s="253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5">
      <c r="A709" s="251"/>
      <c r="C709" s="253"/>
      <c r="D709" s="253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5">
      <c r="A710" s="251"/>
      <c r="C710" s="253"/>
      <c r="D710" s="253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5">
      <c r="A711" s="251"/>
      <c r="C711" s="253"/>
      <c r="D711" s="253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5">
      <c r="A712" s="251"/>
      <c r="C712" s="253"/>
      <c r="D712" s="253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5">
      <c r="A713" s="251"/>
      <c r="C713" s="253"/>
      <c r="D713" s="253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5">
      <c r="A714" s="251"/>
      <c r="C714" s="253"/>
      <c r="D714" s="253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5">
      <c r="A715" s="251"/>
      <c r="C715" s="253"/>
      <c r="D715" s="253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5">
      <c r="A716" s="251"/>
      <c r="C716" s="253"/>
      <c r="D716" s="253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5">
      <c r="A717" s="251"/>
      <c r="C717" s="253"/>
      <c r="D717" s="253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5">
      <c r="A718" s="251"/>
      <c r="C718" s="253"/>
      <c r="D718" s="253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5">
      <c r="A719" s="251"/>
      <c r="C719" s="253"/>
      <c r="D719" s="253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5">
      <c r="A720" s="251"/>
      <c r="C720" s="253"/>
      <c r="D720" s="253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5">
      <c r="A721" s="251"/>
      <c r="C721" s="253"/>
      <c r="D721" s="253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5">
      <c r="A722" s="251"/>
      <c r="C722" s="253"/>
      <c r="D722" s="253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5">
      <c r="A723" s="251"/>
      <c r="C723" s="253"/>
      <c r="D723" s="253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5">
      <c r="A724" s="251"/>
      <c r="C724" s="253"/>
      <c r="D724" s="253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5">
      <c r="A725" s="251"/>
      <c r="C725" s="253"/>
      <c r="D725" s="253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5">
      <c r="A726" s="251"/>
      <c r="C726" s="253"/>
      <c r="D726" s="253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5">
      <c r="A727" s="251"/>
      <c r="C727" s="253"/>
      <c r="D727" s="253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5">
      <c r="A728" s="251"/>
      <c r="C728" s="253"/>
      <c r="D728" s="253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5">
      <c r="A729" s="251"/>
      <c r="C729" s="253"/>
      <c r="D729" s="253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5">
      <c r="A730" s="251"/>
      <c r="C730" s="253"/>
      <c r="D730" s="253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5">
      <c r="A731" s="251"/>
      <c r="C731" s="253"/>
      <c r="D731" s="253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5">
      <c r="A732" s="251"/>
      <c r="C732" s="253"/>
      <c r="D732" s="253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5">
      <c r="A733" s="251"/>
      <c r="C733" s="253"/>
      <c r="D733" s="253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5">
      <c r="A734" s="251"/>
      <c r="C734" s="253"/>
      <c r="D734" s="253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5">
      <c r="A735" s="251"/>
      <c r="C735" s="253"/>
      <c r="D735" s="253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5">
      <c r="A736" s="251"/>
      <c r="C736" s="253"/>
      <c r="D736" s="253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5">
      <c r="A737" s="251"/>
      <c r="C737" s="253"/>
      <c r="D737" s="253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5">
      <c r="A738" s="251"/>
      <c r="C738" s="253"/>
      <c r="D738" s="253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5">
      <c r="A739" s="251"/>
      <c r="C739" s="253"/>
      <c r="D739" s="253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5">
      <c r="A740" s="251"/>
      <c r="C740" s="253"/>
      <c r="D740" s="253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5">
      <c r="A741" s="251"/>
      <c r="C741" s="253"/>
      <c r="D741" s="253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5">
      <c r="A742" s="251"/>
      <c r="C742" s="253"/>
      <c r="D742" s="253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5">
      <c r="A743" s="251"/>
      <c r="C743" s="253"/>
      <c r="D743" s="253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5">
      <c r="A744" s="251"/>
      <c r="C744" s="253"/>
      <c r="D744" s="253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5">
      <c r="A745" s="251"/>
      <c r="C745" s="253"/>
      <c r="D745" s="253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5">
      <c r="A746" s="251"/>
      <c r="C746" s="253"/>
      <c r="D746" s="253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5">
      <c r="A747" s="251"/>
      <c r="C747" s="253"/>
      <c r="D747" s="253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5">
      <c r="A748" s="251"/>
      <c r="C748" s="253"/>
      <c r="D748" s="253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5">
      <c r="A749" s="251"/>
      <c r="C749" s="253"/>
      <c r="D749" s="253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5">
      <c r="A750" s="251"/>
      <c r="C750" s="253"/>
      <c r="D750" s="253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5">
      <c r="A751" s="251"/>
      <c r="C751" s="253"/>
      <c r="D751" s="253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5">
      <c r="A752" s="251"/>
      <c r="C752" s="253"/>
      <c r="D752" s="253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5">
      <c r="A753" s="251"/>
      <c r="C753" s="253"/>
      <c r="D753" s="253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5">
      <c r="A754" s="251"/>
      <c r="C754" s="253"/>
      <c r="D754" s="253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5">
      <c r="A755" s="251"/>
      <c r="C755" s="253"/>
      <c r="D755" s="253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5">
      <c r="A756" s="251"/>
      <c r="C756" s="253"/>
      <c r="D756" s="253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5">
      <c r="A757" s="251"/>
      <c r="C757" s="253"/>
      <c r="D757" s="253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5">
      <c r="A758" s="251"/>
      <c r="C758" s="253"/>
      <c r="D758" s="253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5">
      <c r="A759" s="251"/>
      <c r="C759" s="253"/>
      <c r="D759" s="253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5">
      <c r="A760" s="251"/>
      <c r="C760" s="253"/>
      <c r="D760" s="253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5">
      <c r="A761" s="251"/>
      <c r="C761" s="253"/>
      <c r="D761" s="253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5">
      <c r="A762" s="251"/>
      <c r="C762" s="253"/>
      <c r="D762" s="253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5">
      <c r="A763" s="251"/>
      <c r="C763" s="253"/>
      <c r="D763" s="253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5">
      <c r="A764" s="251"/>
      <c r="C764" s="253"/>
      <c r="D764" s="253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5">
      <c r="A765" s="251"/>
      <c r="C765" s="253"/>
      <c r="D765" s="253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5">
      <c r="A766" s="251"/>
      <c r="C766" s="253"/>
      <c r="D766" s="253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5">
      <c r="A767" s="251"/>
      <c r="C767" s="253"/>
      <c r="D767" s="253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5">
      <c r="A768" s="251"/>
      <c r="C768" s="253"/>
      <c r="D768" s="253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5">
      <c r="A769" s="251"/>
      <c r="C769" s="253"/>
      <c r="D769" s="253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5">
      <c r="A770" s="251"/>
      <c r="C770" s="253"/>
      <c r="D770" s="253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5">
      <c r="A771" s="251"/>
      <c r="C771" s="253"/>
      <c r="D771" s="253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5">
      <c r="A772" s="251"/>
      <c r="C772" s="253"/>
      <c r="D772" s="253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5">
      <c r="A773" s="251"/>
      <c r="C773" s="253"/>
      <c r="D773" s="253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5">
      <c r="A774" s="251"/>
      <c r="C774" s="253"/>
      <c r="D774" s="253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5">
      <c r="A775" s="251"/>
      <c r="C775" s="253"/>
      <c r="D775" s="253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5">
      <c r="A776" s="251"/>
      <c r="C776" s="253"/>
      <c r="D776" s="253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5">
      <c r="A777" s="251"/>
      <c r="C777" s="253"/>
      <c r="D777" s="253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5">
      <c r="A778" s="251"/>
      <c r="C778" s="253"/>
      <c r="D778" s="253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5">
      <c r="A779" s="251"/>
      <c r="C779" s="253"/>
      <c r="D779" s="253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5">
      <c r="A780" s="251"/>
      <c r="C780" s="253"/>
      <c r="D780" s="253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5">
      <c r="A781" s="251"/>
      <c r="C781" s="253"/>
      <c r="D781" s="253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5">
      <c r="A782" s="251"/>
      <c r="C782" s="253"/>
      <c r="D782" s="253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5">
      <c r="A783" s="251"/>
      <c r="C783" s="253"/>
      <c r="D783" s="253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5">
      <c r="A784" s="251"/>
      <c r="C784" s="253"/>
      <c r="D784" s="253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5">
      <c r="A785" s="251"/>
      <c r="C785" s="253"/>
      <c r="D785" s="253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5">
      <c r="A786" s="251"/>
      <c r="C786" s="253"/>
      <c r="D786" s="253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5">
      <c r="A787" s="251"/>
      <c r="C787" s="253"/>
      <c r="D787" s="253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5">
      <c r="A788" s="251"/>
      <c r="C788" s="253"/>
      <c r="D788" s="253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5">
      <c r="A789" s="251"/>
      <c r="C789" s="253"/>
      <c r="D789" s="253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5">
      <c r="A790" s="251"/>
      <c r="C790" s="253"/>
      <c r="D790" s="253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5">
      <c r="A791" s="251"/>
      <c r="C791" s="253"/>
      <c r="D791" s="253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5">
      <c r="A792" s="251"/>
      <c r="C792" s="253"/>
      <c r="D792" s="253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5">
      <c r="A793" s="251"/>
      <c r="C793" s="253"/>
      <c r="D793" s="253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5">
      <c r="A794" s="251"/>
      <c r="C794" s="253"/>
      <c r="D794" s="253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5">
      <c r="A795" s="251"/>
      <c r="C795" s="253"/>
      <c r="D795" s="253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5">
      <c r="A796" s="251"/>
      <c r="C796" s="253"/>
      <c r="D796" s="253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5">
      <c r="A797" s="251"/>
      <c r="C797" s="253"/>
      <c r="D797" s="253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5">
      <c r="A798" s="251"/>
      <c r="C798" s="253"/>
      <c r="D798" s="253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5">
      <c r="A799" s="251"/>
      <c r="C799" s="253"/>
      <c r="D799" s="253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5">
      <c r="A800" s="251"/>
      <c r="C800" s="253"/>
      <c r="D800" s="253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5">
      <c r="A801" s="251"/>
      <c r="C801" s="253"/>
      <c r="D801" s="253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5">
      <c r="A802" s="251"/>
      <c r="C802" s="253"/>
      <c r="D802" s="253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5">
      <c r="A803" s="251"/>
      <c r="C803" s="253"/>
      <c r="D803" s="253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5">
      <c r="A804" s="251"/>
      <c r="C804" s="253"/>
      <c r="D804" s="253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5">
      <c r="A805" s="251"/>
      <c r="C805" s="253"/>
      <c r="D805" s="253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5">
      <c r="A806" s="251"/>
      <c r="C806" s="253"/>
      <c r="D806" s="253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5">
      <c r="A807" s="251"/>
      <c r="C807" s="253"/>
      <c r="D807" s="253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5">
      <c r="A808" s="251"/>
      <c r="C808" s="253"/>
      <c r="D808" s="253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5">
      <c r="A809" s="251"/>
      <c r="C809" s="253"/>
      <c r="D809" s="253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5">
      <c r="A810" s="251"/>
      <c r="C810" s="253"/>
      <c r="D810" s="253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5">
      <c r="A811" s="251"/>
      <c r="C811" s="253"/>
      <c r="D811" s="253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5">
      <c r="A812" s="251"/>
      <c r="C812" s="253"/>
      <c r="D812" s="253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5">
      <c r="A813" s="251"/>
      <c r="C813" s="253"/>
      <c r="D813" s="253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5">
      <c r="A814" s="251"/>
      <c r="C814" s="253"/>
      <c r="D814" s="253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5">
      <c r="A815" s="251"/>
      <c r="C815" s="253"/>
      <c r="D815" s="253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5">
      <c r="A816" s="251"/>
      <c r="C816" s="253"/>
      <c r="D816" s="253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5">
      <c r="A817" s="251"/>
      <c r="C817" s="253"/>
      <c r="D817" s="253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5">
      <c r="A818" s="251"/>
      <c r="C818" s="253"/>
      <c r="D818" s="253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5">
      <c r="A819" s="251"/>
      <c r="C819" s="253"/>
      <c r="D819" s="253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5">
      <c r="A820" s="251"/>
      <c r="C820" s="253"/>
      <c r="D820" s="253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5">
      <c r="A821" s="251"/>
      <c r="C821" s="253"/>
      <c r="D821" s="253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5">
      <c r="A822" s="251"/>
      <c r="C822" s="253"/>
      <c r="D822" s="253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5">
      <c r="A823" s="251"/>
      <c r="C823" s="253"/>
      <c r="D823" s="253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5">
      <c r="A824" s="251"/>
      <c r="C824" s="253"/>
      <c r="D824" s="253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5">
      <c r="A825" s="251"/>
      <c r="C825" s="253"/>
      <c r="D825" s="253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5">
      <c r="A826" s="251"/>
      <c r="C826" s="253"/>
      <c r="D826" s="253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5">
      <c r="A827" s="251"/>
      <c r="C827" s="253"/>
      <c r="D827" s="253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5">
      <c r="A828" s="251"/>
      <c r="C828" s="253"/>
      <c r="D828" s="253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5">
      <c r="A829" s="251"/>
      <c r="C829" s="253"/>
      <c r="D829" s="253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5">
      <c r="A830" s="251"/>
      <c r="C830" s="253"/>
      <c r="D830" s="253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5">
      <c r="A831" s="251"/>
      <c r="C831" s="253"/>
      <c r="D831" s="253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5">
      <c r="A832" s="251"/>
      <c r="C832" s="253"/>
      <c r="D832" s="253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5">
      <c r="A833" s="251"/>
      <c r="C833" s="253"/>
      <c r="D833" s="253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5">
      <c r="A834" s="251"/>
      <c r="C834" s="253"/>
      <c r="D834" s="253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5">
      <c r="A835" s="251"/>
      <c r="C835" s="253"/>
      <c r="D835" s="253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5">
      <c r="A836" s="251"/>
      <c r="C836" s="253"/>
      <c r="D836" s="253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5">
      <c r="A837" s="251"/>
      <c r="C837" s="253"/>
      <c r="D837" s="253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5">
      <c r="A838" s="251"/>
      <c r="C838" s="253"/>
      <c r="D838" s="253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5">
      <c r="A839" s="251"/>
      <c r="C839" s="253"/>
      <c r="D839" s="253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5">
      <c r="A840" s="251"/>
      <c r="C840" s="253"/>
      <c r="D840" s="253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5">
      <c r="A841" s="251"/>
      <c r="C841" s="253"/>
      <c r="D841" s="253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5">
      <c r="A842" s="251"/>
      <c r="C842" s="253"/>
      <c r="D842" s="253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5">
      <c r="A843" s="251"/>
      <c r="C843" s="253"/>
      <c r="D843" s="253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5">
      <c r="A844" s="251"/>
      <c r="C844" s="253"/>
      <c r="D844" s="253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5">
      <c r="A845" s="251"/>
      <c r="C845" s="253"/>
      <c r="D845" s="253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5">
      <c r="A846" s="251"/>
      <c r="C846" s="253"/>
      <c r="D846" s="253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5">
      <c r="A847" s="251"/>
      <c r="C847" s="253"/>
      <c r="D847" s="253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5">
      <c r="A848" s="251"/>
      <c r="C848" s="253"/>
      <c r="D848" s="253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5">
      <c r="A849" s="251"/>
      <c r="C849" s="253"/>
      <c r="D849" s="253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5">
      <c r="A850" s="251"/>
      <c r="C850" s="253"/>
      <c r="D850" s="253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5">
      <c r="A851" s="251"/>
      <c r="C851" s="253"/>
      <c r="D851" s="253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5">
      <c r="A852" s="251"/>
      <c r="C852" s="253"/>
      <c r="D852" s="253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5">
      <c r="A853" s="251"/>
      <c r="C853" s="253"/>
      <c r="D853" s="253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5">
      <c r="A854" s="251"/>
      <c r="C854" s="253"/>
      <c r="D854" s="253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5">
      <c r="A855" s="251"/>
      <c r="C855" s="253"/>
      <c r="D855" s="253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5">
      <c r="A856" s="251"/>
      <c r="C856" s="253"/>
      <c r="D856" s="253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5">
      <c r="A857" s="251"/>
      <c r="C857" s="253"/>
      <c r="D857" s="253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5">
      <c r="A858" s="251"/>
      <c r="C858" s="253"/>
      <c r="D858" s="253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5">
      <c r="A859" s="251"/>
      <c r="C859" s="253"/>
      <c r="D859" s="253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5">
      <c r="A860" s="251"/>
      <c r="C860" s="253"/>
      <c r="D860" s="253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5">
      <c r="A861" s="251"/>
      <c r="C861" s="253"/>
      <c r="D861" s="253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5">
      <c r="A862" s="251"/>
      <c r="C862" s="253"/>
      <c r="D862" s="253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5">
      <c r="A863" s="251"/>
      <c r="C863" s="253"/>
      <c r="D863" s="253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5">
      <c r="A864" s="251"/>
      <c r="C864" s="253"/>
      <c r="D864" s="253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5">
      <c r="A865" s="251"/>
      <c r="C865" s="253"/>
      <c r="D865" s="253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5">
      <c r="A866" s="251"/>
      <c r="C866" s="253"/>
      <c r="D866" s="253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5">
      <c r="A867" s="251"/>
      <c r="C867" s="253"/>
      <c r="D867" s="253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5">
      <c r="A868" s="251"/>
      <c r="C868" s="253"/>
      <c r="D868" s="253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5">
      <c r="A869" s="251"/>
      <c r="C869" s="253"/>
      <c r="D869" s="253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5">
      <c r="A870" s="251"/>
      <c r="C870" s="253"/>
      <c r="D870" s="253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5">
      <c r="A871" s="251"/>
      <c r="C871" s="253"/>
      <c r="D871" s="253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5">
      <c r="A872" s="251"/>
      <c r="C872" s="253"/>
      <c r="D872" s="253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5">
      <c r="A873" s="251"/>
      <c r="C873" s="253"/>
      <c r="D873" s="253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5">
      <c r="A874" s="251"/>
      <c r="C874" s="253"/>
      <c r="D874" s="253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5">
      <c r="A875" s="251"/>
      <c r="C875" s="253"/>
      <c r="D875" s="253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5">
      <c r="A876" s="251"/>
      <c r="C876" s="253"/>
      <c r="D876" s="253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5">
      <c r="A877" s="251"/>
      <c r="C877" s="253"/>
      <c r="D877" s="253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5">
      <c r="A878" s="251"/>
      <c r="C878" s="253"/>
      <c r="D878" s="253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5">
      <c r="A879" s="251"/>
      <c r="C879" s="253"/>
      <c r="D879" s="253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5">
      <c r="A880" s="251"/>
      <c r="C880" s="253"/>
      <c r="D880" s="253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5">
      <c r="A881" s="251"/>
      <c r="C881" s="253"/>
      <c r="D881" s="253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5">
      <c r="A882" s="251"/>
      <c r="C882" s="253"/>
      <c r="D882" s="253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5">
      <c r="A883" s="251"/>
      <c r="C883" s="253"/>
      <c r="D883" s="253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5">
      <c r="A884" s="251"/>
      <c r="C884" s="253"/>
      <c r="D884" s="253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5">
      <c r="A885" s="251"/>
      <c r="C885" s="253"/>
      <c r="D885" s="253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5">
      <c r="A886" s="251"/>
      <c r="C886" s="253"/>
      <c r="D886" s="253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5">
      <c r="A887" s="251"/>
      <c r="C887" s="253"/>
      <c r="D887" s="253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5">
      <c r="A888" s="251"/>
      <c r="C888" s="253"/>
      <c r="D888" s="253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5">
      <c r="A889" s="251"/>
      <c r="C889" s="253"/>
      <c r="D889" s="253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5">
      <c r="A890" s="251"/>
      <c r="C890" s="253"/>
      <c r="D890" s="253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5">
      <c r="A891" s="251"/>
      <c r="C891" s="253"/>
      <c r="D891" s="253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5">
      <c r="A892" s="251"/>
      <c r="C892" s="253"/>
      <c r="D892" s="253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5">
      <c r="A893" s="251"/>
      <c r="C893" s="253"/>
      <c r="D893" s="253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5">
      <c r="A894" s="251"/>
      <c r="C894" s="253"/>
      <c r="D894" s="253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5">
      <c r="A895" s="251"/>
      <c r="C895" s="253"/>
      <c r="D895" s="253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5">
      <c r="A896" s="251"/>
      <c r="C896" s="253"/>
      <c r="D896" s="253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5">
      <c r="A897" s="251"/>
      <c r="C897" s="253"/>
      <c r="D897" s="253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5">
      <c r="A898" s="251"/>
      <c r="C898" s="253"/>
      <c r="D898" s="253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5">
      <c r="A899" s="251"/>
      <c r="C899" s="253"/>
      <c r="D899" s="253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5">
      <c r="A900" s="251"/>
      <c r="C900" s="253"/>
      <c r="D900" s="253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5">
      <c r="A901" s="251"/>
      <c r="C901" s="253"/>
      <c r="D901" s="253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5">
      <c r="A902" s="251"/>
      <c r="C902" s="253"/>
      <c r="D902" s="253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5">
      <c r="A903" s="251"/>
      <c r="C903" s="253"/>
      <c r="D903" s="253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5">
      <c r="A904" s="251"/>
      <c r="C904" s="253"/>
      <c r="D904" s="253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5">
      <c r="A905" s="251"/>
      <c r="C905" s="253"/>
      <c r="D905" s="253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5">
      <c r="A906" s="251"/>
      <c r="C906" s="253"/>
      <c r="D906" s="253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5">
      <c r="A907" s="251"/>
      <c r="C907" s="253"/>
      <c r="D907" s="253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5">
      <c r="A908" s="251"/>
      <c r="C908" s="253"/>
      <c r="D908" s="253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5">
      <c r="A909" s="251"/>
      <c r="C909" s="253"/>
      <c r="D909" s="253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5">
      <c r="A910" s="251"/>
      <c r="C910" s="253"/>
      <c r="D910" s="253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5">
      <c r="A911" s="251"/>
      <c r="C911" s="253"/>
      <c r="D911" s="253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5">
      <c r="A912" s="251"/>
      <c r="C912" s="253"/>
      <c r="D912" s="253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5">
      <c r="A913" s="251"/>
      <c r="C913" s="253"/>
      <c r="D913" s="253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5">
      <c r="A914" s="251"/>
      <c r="C914" s="253"/>
      <c r="D914" s="253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5">
      <c r="A915" s="251"/>
      <c r="C915" s="253"/>
      <c r="D915" s="253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5">
      <c r="A916" s="251"/>
      <c r="C916" s="253"/>
      <c r="D916" s="253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5">
      <c r="A917" s="251"/>
      <c r="C917" s="253"/>
      <c r="D917" s="253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5">
      <c r="A918" s="251"/>
      <c r="C918" s="253"/>
      <c r="D918" s="253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5">
      <c r="A919" s="251"/>
      <c r="C919" s="253"/>
      <c r="D919" s="253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5">
      <c r="A920" s="251"/>
      <c r="C920" s="253"/>
      <c r="D920" s="253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5">
      <c r="A921" s="251"/>
      <c r="C921" s="253"/>
      <c r="D921" s="253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5">
      <c r="A922" s="251"/>
      <c r="C922" s="253"/>
      <c r="D922" s="253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5">
      <c r="A923" s="251"/>
      <c r="C923" s="253"/>
      <c r="D923" s="253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5">
      <c r="A924" s="251"/>
      <c r="C924" s="253"/>
      <c r="D924" s="253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5">
      <c r="A925" s="251"/>
      <c r="C925" s="253"/>
      <c r="D925" s="253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5">
      <c r="A926" s="251"/>
      <c r="C926" s="253"/>
      <c r="D926" s="253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5">
      <c r="A927" s="251"/>
      <c r="C927" s="253"/>
      <c r="D927" s="253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5">
      <c r="A928" s="251"/>
      <c r="C928" s="253"/>
      <c r="D928" s="253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5">
      <c r="A929" s="251"/>
      <c r="C929" s="253"/>
      <c r="D929" s="253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5">
      <c r="A930" s="251"/>
      <c r="C930" s="253"/>
      <c r="D930" s="253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5">
      <c r="A931" s="251"/>
      <c r="C931" s="253"/>
      <c r="D931" s="253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5">
      <c r="A932" s="251"/>
      <c r="C932" s="253"/>
      <c r="D932" s="253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5">
      <c r="A933" s="251"/>
      <c r="C933" s="253"/>
      <c r="D933" s="253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5">
      <c r="A934" s="251"/>
      <c r="C934" s="253"/>
      <c r="D934" s="253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5">
      <c r="A935" s="251"/>
      <c r="C935" s="253"/>
      <c r="D935" s="253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5">
      <c r="A936" s="251"/>
      <c r="C936" s="253"/>
      <c r="D936" s="253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5">
      <c r="A937" s="251"/>
      <c r="C937" s="253"/>
      <c r="D937" s="253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5">
      <c r="A938" s="251"/>
      <c r="C938" s="253"/>
      <c r="D938" s="253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5">
      <c r="A939" s="251"/>
      <c r="C939" s="253"/>
      <c r="D939" s="253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5">
      <c r="A940" s="251"/>
      <c r="C940" s="253"/>
      <c r="D940" s="253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5">
      <c r="A941" s="251"/>
      <c r="C941" s="253"/>
      <c r="D941" s="253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5">
      <c r="A942" s="251"/>
      <c r="C942" s="253"/>
      <c r="D942" s="253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5">
      <c r="A943" s="251"/>
      <c r="C943" s="253"/>
      <c r="D943" s="253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5">
      <c r="A944" s="251"/>
      <c r="C944" s="253"/>
      <c r="D944" s="253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5">
      <c r="A945" s="251"/>
      <c r="C945" s="253"/>
      <c r="D945" s="253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5">
      <c r="A946" s="251"/>
      <c r="C946" s="253"/>
      <c r="D946" s="253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5">
      <c r="A947" s="251"/>
      <c r="C947" s="253"/>
      <c r="D947" s="253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5">
      <c r="A948" s="251"/>
      <c r="C948" s="253"/>
      <c r="D948" s="253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5">
      <c r="A949" s="251"/>
      <c r="C949" s="253"/>
      <c r="D949" s="253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5">
      <c r="A950" s="251"/>
      <c r="C950" s="253"/>
      <c r="D950" s="253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5">
      <c r="A951" s="251"/>
      <c r="C951" s="253"/>
      <c r="D951" s="253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5">
      <c r="A952" s="251"/>
      <c r="C952" s="253"/>
      <c r="D952" s="253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5">
      <c r="A953" s="251"/>
      <c r="C953" s="253"/>
      <c r="D953" s="253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5">
      <c r="A954" s="251"/>
      <c r="C954" s="253"/>
      <c r="D954" s="253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5">
      <c r="A955" s="251"/>
      <c r="C955" s="253"/>
      <c r="D955" s="253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5">
      <c r="A956" s="251"/>
      <c r="C956" s="253"/>
      <c r="D956" s="253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5">
      <c r="A957" s="251"/>
      <c r="C957" s="253"/>
      <c r="D957" s="253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5">
      <c r="A958" s="251"/>
      <c r="C958" s="253"/>
      <c r="D958" s="253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5">
      <c r="A959" s="251"/>
      <c r="C959" s="253"/>
      <c r="D959" s="253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5">
      <c r="A960" s="251"/>
      <c r="C960" s="253"/>
      <c r="D960" s="253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5">
      <c r="A961" s="251"/>
      <c r="C961" s="253"/>
      <c r="D961" s="253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5">
      <c r="A962" s="251"/>
      <c r="C962" s="253"/>
      <c r="D962" s="253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5">
      <c r="A963" s="251"/>
      <c r="C963" s="253"/>
      <c r="D963" s="253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5">
      <c r="A964" s="251"/>
      <c r="C964" s="253"/>
      <c r="D964" s="253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5">
      <c r="A965" s="251"/>
      <c r="C965" s="253"/>
      <c r="D965" s="253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5">
      <c r="A966" s="251"/>
      <c r="C966" s="253"/>
      <c r="D966" s="253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5">
      <c r="A967" s="251"/>
      <c r="C967" s="253"/>
      <c r="D967" s="253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5">
      <c r="A968" s="251"/>
      <c r="C968" s="253"/>
      <c r="D968" s="253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5">
      <c r="A969" s="251"/>
      <c r="C969" s="253"/>
      <c r="D969" s="253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5">
      <c r="A970" s="251"/>
      <c r="C970" s="253"/>
      <c r="D970" s="253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5">
      <c r="A971" s="251"/>
      <c r="C971" s="253"/>
      <c r="D971" s="253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5">
      <c r="A972" s="251"/>
      <c r="C972" s="253"/>
      <c r="D972" s="253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5">
      <c r="A973" s="251"/>
      <c r="C973" s="253"/>
      <c r="D973" s="253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5">
      <c r="A974" s="251"/>
      <c r="C974" s="253"/>
      <c r="D974" s="253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5">
      <c r="A975" s="251"/>
      <c r="C975" s="253"/>
      <c r="D975" s="253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5">
      <c r="A976" s="251"/>
      <c r="C976" s="253"/>
      <c r="D976" s="253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5">
      <c r="A977" s="251"/>
      <c r="C977" s="253"/>
      <c r="D977" s="253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5">
      <c r="A978" s="251"/>
      <c r="C978" s="253"/>
      <c r="D978" s="253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5">
      <c r="A979" s="251"/>
      <c r="C979" s="253"/>
      <c r="D979" s="253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5">
      <c r="A980" s="251"/>
      <c r="C980" s="253"/>
      <c r="D980" s="253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5">
      <c r="A981" s="251"/>
      <c r="C981" s="253"/>
      <c r="D981" s="253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5">
      <c r="A982" s="251"/>
      <c r="C982" s="253"/>
      <c r="D982" s="253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5">
      <c r="A983" s="251"/>
      <c r="C983" s="253"/>
      <c r="D983" s="253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5">
      <c r="A984" s="251"/>
      <c r="C984" s="253"/>
      <c r="D984" s="253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5">
      <c r="A985" s="251"/>
      <c r="C985" s="253"/>
      <c r="D985" s="253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5">
      <c r="A986" s="251"/>
      <c r="C986" s="253"/>
      <c r="D986" s="253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5">
      <c r="A987" s="251"/>
      <c r="C987" s="253"/>
      <c r="D987" s="253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5">
      <c r="A988" s="251"/>
      <c r="C988" s="253"/>
      <c r="D988" s="253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5">
      <c r="A989" s="251"/>
      <c r="C989" s="253"/>
      <c r="D989" s="253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5">
      <c r="A990" s="251"/>
      <c r="C990" s="253"/>
      <c r="D990" s="253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5">
      <c r="A991" s="251"/>
      <c r="C991" s="253"/>
      <c r="D991" s="253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5">
      <c r="A992" s="251"/>
      <c r="C992" s="253"/>
      <c r="D992" s="253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5">
      <c r="A993" s="251"/>
      <c r="C993" s="253"/>
      <c r="D993" s="253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5">
      <c r="A994" s="251"/>
      <c r="C994" s="253"/>
      <c r="D994" s="253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5">
      <c r="A995" s="251"/>
      <c r="C995" s="253"/>
      <c r="D995" s="253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5">
      <c r="A996" s="251"/>
      <c r="C996" s="253"/>
      <c r="D996" s="253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5">
      <c r="A997" s="251"/>
      <c r="C997" s="253"/>
      <c r="D997" s="253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5">
      <c r="A998" s="251"/>
      <c r="C998" s="253"/>
      <c r="D998" s="253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5">
      <c r="A999" s="251"/>
      <c r="C999" s="253"/>
      <c r="D999" s="253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5">
      <c r="A1000" s="251"/>
      <c r="C1000" s="253"/>
      <c r="D1000" s="253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5">
      <c r="A1001" s="251"/>
      <c r="C1001" s="253"/>
      <c r="D1001" s="253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5">
      <c r="A1002" s="251"/>
      <c r="C1002" s="253"/>
      <c r="D1002" s="253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5">
      <c r="A1003" s="251"/>
      <c r="C1003" s="253"/>
      <c r="D1003" s="253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5">
      <c r="A1004" s="251"/>
      <c r="C1004" s="253"/>
      <c r="D1004" s="253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5">
      <c r="A1005" s="251"/>
      <c r="C1005" s="253"/>
      <c r="D1005" s="253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5">
      <c r="A1006" s="251"/>
      <c r="C1006" s="253"/>
      <c r="D1006" s="253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5">
      <c r="A1007" s="251"/>
      <c r="C1007" s="253"/>
      <c r="D1007" s="253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5">
      <c r="A1008" s="251"/>
      <c r="C1008" s="253"/>
      <c r="D1008" s="253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5">
      <c r="A1009" s="251"/>
      <c r="C1009" s="253"/>
      <c r="D1009" s="253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5">
      <c r="A1010" s="251"/>
      <c r="C1010" s="253"/>
      <c r="D1010" s="253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5">
      <c r="A1011" s="251"/>
      <c r="C1011" s="253"/>
      <c r="D1011" s="253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5">
      <c r="A1012" s="251"/>
      <c r="C1012" s="253"/>
      <c r="D1012" s="253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5">
      <c r="A1013" s="251"/>
      <c r="C1013" s="253"/>
      <c r="D1013" s="253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5">
      <c r="A1014" s="251"/>
      <c r="C1014" s="253"/>
      <c r="D1014" s="253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5">
      <c r="A1015" s="251"/>
      <c r="C1015" s="253"/>
      <c r="D1015" s="253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5">
      <c r="A1016" s="251"/>
      <c r="C1016" s="253"/>
      <c r="D1016" s="253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5">
      <c r="A1017" s="251"/>
      <c r="C1017" s="253"/>
      <c r="D1017" s="253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5">
      <c r="A1018" s="251"/>
      <c r="C1018" s="253"/>
      <c r="D1018" s="253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5">
      <c r="A1019" s="251"/>
      <c r="C1019" s="253"/>
      <c r="D1019" s="253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5">
      <c r="A1020" s="251"/>
      <c r="C1020" s="253"/>
      <c r="D1020" s="253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5">
      <c r="A1021" s="251"/>
      <c r="C1021" s="253"/>
      <c r="D1021" s="253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5">
      <c r="A1022" s="251"/>
      <c r="C1022" s="253"/>
      <c r="D1022" s="253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5">
      <c r="A1023" s="251"/>
      <c r="C1023" s="253"/>
      <c r="D1023" s="253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5">
      <c r="A1024" s="251"/>
      <c r="C1024" s="253"/>
      <c r="D1024" s="253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5">
      <c r="A1025" s="251"/>
      <c r="C1025" s="253"/>
      <c r="D1025" s="253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5">
      <c r="A1026" s="251"/>
      <c r="C1026" s="253"/>
      <c r="D1026" s="253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5">
      <c r="A1027" s="251"/>
      <c r="C1027" s="253"/>
      <c r="D1027" s="253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5">
      <c r="A1028" s="251"/>
      <c r="C1028" s="253"/>
      <c r="D1028" s="253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5">
      <c r="A1029" s="251"/>
      <c r="C1029" s="253"/>
      <c r="D1029" s="253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5">
      <c r="A1030" s="251"/>
      <c r="C1030" s="253"/>
      <c r="D1030" s="253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5">
      <c r="A1031" s="251"/>
      <c r="C1031" s="253"/>
      <c r="D1031" s="253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5">
      <c r="A1032" s="251"/>
      <c r="C1032" s="253"/>
      <c r="D1032" s="253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5">
      <c r="A1033" s="251"/>
      <c r="C1033" s="253"/>
      <c r="D1033" s="253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5">
      <c r="A1034" s="251"/>
      <c r="C1034" s="253"/>
      <c r="D1034" s="253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5">
      <c r="A1035" s="251"/>
      <c r="C1035" s="253"/>
      <c r="D1035" s="253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5">
      <c r="A1036" s="251"/>
      <c r="C1036" s="253"/>
      <c r="D1036" s="253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5">
      <c r="A1037" s="251"/>
      <c r="C1037" s="253"/>
      <c r="D1037" s="253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5">
      <c r="A1038" s="251"/>
      <c r="C1038" s="253"/>
      <c r="D1038" s="253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5">
      <c r="A1039" s="251"/>
      <c r="C1039" s="253"/>
      <c r="D1039" s="253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5">
      <c r="A1040" s="251"/>
      <c r="C1040" s="253"/>
      <c r="D1040" s="253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5">
      <c r="A1041" s="251"/>
      <c r="C1041" s="253"/>
      <c r="D1041" s="253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5">
      <c r="A1042" s="251"/>
      <c r="C1042" s="253"/>
      <c r="D1042" s="253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5">
      <c r="A1043" s="251"/>
      <c r="C1043" s="253"/>
      <c r="D1043" s="253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5">
      <c r="A1044" s="251"/>
      <c r="C1044" s="253"/>
      <c r="D1044" s="253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5">
      <c r="A1045" s="251"/>
      <c r="C1045" s="253"/>
      <c r="D1045" s="253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5">
      <c r="A1046" s="251"/>
      <c r="C1046" s="253"/>
      <c r="D1046" s="253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5">
      <c r="A1047" s="251"/>
      <c r="C1047" s="253"/>
      <c r="D1047" s="253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5">
      <c r="A1048" s="251"/>
      <c r="C1048" s="253"/>
      <c r="D1048" s="253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5">
      <c r="A1049" s="251"/>
      <c r="C1049" s="253"/>
      <c r="D1049" s="253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5">
      <c r="A1050" s="251"/>
      <c r="C1050" s="253"/>
      <c r="D1050" s="253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5">
      <c r="A1051" s="251"/>
      <c r="C1051" s="253"/>
      <c r="D1051" s="253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5">
      <c r="A1052" s="251"/>
      <c r="C1052" s="253"/>
      <c r="D1052" s="253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5">
      <c r="A1053" s="251"/>
      <c r="C1053" s="253"/>
      <c r="D1053" s="253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5">
      <c r="A1054" s="251"/>
      <c r="C1054" s="253"/>
      <c r="D1054" s="253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5">
      <c r="A1055" s="251"/>
      <c r="C1055" s="253"/>
      <c r="D1055" s="253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5">
      <c r="A1056" s="251"/>
      <c r="C1056" s="253"/>
      <c r="D1056" s="253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5">
      <c r="A1057" s="251"/>
      <c r="C1057" s="253"/>
      <c r="D1057" s="253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5">
      <c r="A1058" s="251"/>
      <c r="C1058" s="253"/>
      <c r="D1058" s="253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5">
      <c r="A1059" s="251"/>
      <c r="C1059" s="253"/>
      <c r="D1059" s="253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5">
      <c r="A1060" s="251"/>
      <c r="C1060" s="253"/>
      <c r="D1060" s="253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5">
      <c r="A1061" s="251"/>
      <c r="C1061" s="253"/>
      <c r="D1061" s="253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5">
      <c r="A1062" s="251"/>
      <c r="C1062" s="253"/>
      <c r="D1062" s="253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5">
      <c r="A1063" s="251"/>
      <c r="C1063" s="253"/>
      <c r="D1063" s="253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5">
      <c r="A1064" s="251"/>
      <c r="C1064" s="253"/>
      <c r="D1064" s="253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5">
      <c r="A1065" s="251"/>
      <c r="C1065" s="253"/>
      <c r="D1065" s="253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5">
      <c r="A1066" s="251"/>
      <c r="C1066" s="253"/>
      <c r="D1066" s="253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5">
      <c r="A1067" s="251"/>
      <c r="C1067" s="253"/>
      <c r="D1067" s="253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5">
      <c r="A1068" s="251"/>
      <c r="C1068" s="253"/>
      <c r="D1068" s="253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5">
      <c r="A1069" s="251"/>
      <c r="C1069" s="253"/>
      <c r="D1069" s="253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5">
      <c r="A1070" s="251"/>
      <c r="C1070" s="253"/>
      <c r="D1070" s="253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5">
      <c r="A1071" s="251"/>
      <c r="C1071" s="253"/>
      <c r="D1071" s="253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5">
      <c r="A1072" s="251"/>
      <c r="C1072" s="253"/>
      <c r="D1072" s="253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5">
      <c r="A1073" s="251"/>
      <c r="C1073" s="253"/>
      <c r="D1073" s="253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5">
      <c r="A1074" s="251"/>
      <c r="C1074" s="253"/>
      <c r="D1074" s="253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5">
      <c r="A1075" s="251"/>
      <c r="C1075" s="253"/>
      <c r="D1075" s="253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5">
      <c r="A1076" s="251"/>
      <c r="C1076" s="253"/>
      <c r="D1076" s="253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5">
      <c r="A1077" s="251"/>
      <c r="C1077" s="253"/>
      <c r="D1077" s="253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5">
      <c r="A1078" s="251"/>
      <c r="C1078" s="253"/>
      <c r="D1078" s="253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5">
      <c r="A1079" s="251"/>
      <c r="C1079" s="253"/>
      <c r="D1079" s="253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5">
      <c r="A1080" s="251"/>
      <c r="C1080" s="253"/>
      <c r="D1080" s="253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5">
      <c r="A1081" s="251"/>
      <c r="C1081" s="253"/>
      <c r="D1081" s="253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5">
      <c r="A1082" s="251"/>
      <c r="C1082" s="253"/>
      <c r="D1082" s="253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5">
      <c r="A1083" s="251"/>
      <c r="C1083" s="253"/>
      <c r="D1083" s="253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5">
      <c r="A1084" s="251"/>
      <c r="C1084" s="253"/>
      <c r="D1084" s="253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5">
      <c r="A1085" s="251"/>
      <c r="C1085" s="253"/>
      <c r="D1085" s="253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5">
      <c r="A1086" s="251"/>
      <c r="C1086" s="253"/>
      <c r="D1086" s="253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5">
      <c r="A1087" s="251"/>
      <c r="C1087" s="253"/>
      <c r="D1087" s="253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5">
      <c r="A1088" s="251"/>
      <c r="C1088" s="253"/>
      <c r="D1088" s="253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5">
      <c r="A1089" s="251"/>
      <c r="C1089" s="253"/>
      <c r="D1089" s="253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5">
      <c r="A1090" s="251"/>
      <c r="C1090" s="253"/>
      <c r="D1090" s="253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5">
      <c r="A1091" s="251"/>
      <c r="C1091" s="253"/>
      <c r="D1091" s="253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5">
      <c r="A1092" s="251"/>
      <c r="C1092" s="253"/>
      <c r="D1092" s="253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5">
      <c r="A1093" s="251"/>
      <c r="C1093" s="253"/>
      <c r="D1093" s="253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5">
      <c r="A1094" s="251"/>
      <c r="C1094" s="253"/>
      <c r="D1094" s="253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5">
      <c r="A1095" s="251"/>
      <c r="C1095" s="253"/>
      <c r="D1095" s="253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5">
      <c r="A1096" s="251"/>
      <c r="C1096" s="253"/>
      <c r="D1096" s="253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5">
      <c r="A1097" s="251"/>
      <c r="C1097" s="253"/>
      <c r="D1097" s="253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5">
      <c r="A1098" s="251"/>
      <c r="C1098" s="253"/>
      <c r="D1098" s="253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5">
      <c r="A1099" s="251"/>
      <c r="C1099" s="253"/>
      <c r="D1099" s="253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5">
      <c r="A1100" s="251"/>
      <c r="C1100" s="253"/>
      <c r="D1100" s="253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5">
      <c r="A1101" s="251"/>
      <c r="C1101" s="253"/>
      <c r="D1101" s="253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5">
      <c r="A1102" s="251"/>
      <c r="C1102" s="253"/>
      <c r="D1102" s="253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5">
      <c r="A1103" s="251"/>
      <c r="C1103" s="253"/>
      <c r="D1103" s="253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5">
      <c r="A1104" s="251"/>
      <c r="C1104" s="253"/>
      <c r="D1104" s="253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5">
      <c r="A1105" s="251"/>
      <c r="C1105" s="253"/>
      <c r="D1105" s="253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5">
      <c r="A1106" s="251"/>
      <c r="C1106" s="253"/>
      <c r="D1106" s="253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5">
      <c r="A1107" s="251"/>
      <c r="C1107" s="253"/>
      <c r="D1107" s="253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5">
      <c r="A1108" s="251"/>
      <c r="C1108" s="253"/>
      <c r="D1108" s="253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5">
      <c r="A1109" s="251"/>
      <c r="C1109" s="253"/>
      <c r="D1109" s="253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5">
      <c r="A1110" s="251"/>
      <c r="C1110" s="253"/>
      <c r="D1110" s="253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5">
      <c r="A1111" s="251"/>
      <c r="C1111" s="253"/>
      <c r="D1111" s="253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5">
      <c r="A1112" s="251"/>
      <c r="C1112" s="253"/>
      <c r="D1112" s="253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5">
      <c r="A1113" s="251"/>
      <c r="C1113" s="253"/>
      <c r="D1113" s="253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5">
      <c r="A1114" s="251"/>
      <c r="C1114" s="253"/>
      <c r="D1114" s="253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5">
      <c r="A1115" s="251"/>
      <c r="C1115" s="253"/>
      <c r="D1115" s="253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5">
      <c r="A1116" s="251"/>
      <c r="C1116" s="253"/>
      <c r="D1116" s="253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5">
      <c r="A1117" s="251"/>
      <c r="C1117" s="253"/>
      <c r="D1117" s="253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5">
      <c r="A1118" s="251"/>
      <c r="C1118" s="253"/>
      <c r="D1118" s="253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5">
      <c r="A1119" s="251"/>
      <c r="C1119" s="253"/>
      <c r="D1119" s="253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5">
      <c r="A1120" s="251"/>
      <c r="C1120" s="253"/>
      <c r="D1120" s="253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5">
      <c r="A1121" s="251"/>
      <c r="C1121" s="253"/>
      <c r="D1121" s="253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5">
      <c r="A1122" s="251"/>
      <c r="C1122" s="253"/>
      <c r="D1122" s="253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5">
      <c r="A1123" s="251"/>
      <c r="C1123" s="253"/>
      <c r="D1123" s="253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5">
      <c r="A1124" s="251"/>
      <c r="C1124" s="253"/>
      <c r="D1124" s="253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5">
      <c r="A1125" s="251"/>
      <c r="C1125" s="253"/>
      <c r="D1125" s="253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5">
      <c r="A1126" s="251"/>
      <c r="C1126" s="253"/>
      <c r="D1126" s="253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5">
      <c r="A1127" s="251"/>
      <c r="C1127" s="253"/>
      <c r="D1127" s="253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5">
      <c r="A1128" s="251"/>
      <c r="C1128" s="253"/>
      <c r="D1128" s="253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5">
      <c r="A1129" s="251"/>
      <c r="C1129" s="253"/>
      <c r="D1129" s="253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5">
      <c r="A1130" s="251"/>
      <c r="C1130" s="253"/>
      <c r="D1130" s="253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5">
      <c r="A1131" s="251"/>
      <c r="C1131" s="253"/>
      <c r="D1131" s="253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5">
      <c r="A1132" s="251"/>
      <c r="C1132" s="253"/>
      <c r="D1132" s="253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5">
      <c r="A1133" s="251"/>
      <c r="C1133" s="253"/>
      <c r="D1133" s="253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5">
      <c r="A1134" s="251"/>
      <c r="C1134" s="253"/>
      <c r="D1134" s="253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5">
      <c r="A1135" s="251"/>
      <c r="C1135" s="253"/>
      <c r="D1135" s="253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5">
      <c r="A1136" s="251"/>
      <c r="C1136" s="253"/>
      <c r="D1136" s="253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5">
      <c r="A1137" s="251"/>
      <c r="C1137" s="253"/>
      <c r="D1137" s="253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5">
      <c r="A1138" s="251"/>
      <c r="C1138" s="253"/>
      <c r="D1138" s="253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5">
      <c r="A1139" s="251"/>
      <c r="C1139" s="253"/>
      <c r="D1139" s="253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5">
      <c r="A1140" s="251"/>
      <c r="C1140" s="253"/>
      <c r="D1140" s="253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5">
      <c r="A1141" s="251"/>
      <c r="C1141" s="253"/>
      <c r="D1141" s="253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5">
      <c r="A1142" s="251"/>
      <c r="C1142" s="253"/>
      <c r="D1142" s="253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5">
      <c r="A1143" s="251"/>
      <c r="C1143" s="253"/>
      <c r="D1143" s="253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5">
      <c r="A1144" s="251"/>
      <c r="C1144" s="253"/>
      <c r="D1144" s="253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5">
      <c r="A1145" s="251"/>
      <c r="C1145" s="253"/>
      <c r="D1145" s="253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5">
      <c r="A1146" s="251"/>
      <c r="C1146" s="253"/>
      <c r="D1146" s="253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5">
      <c r="A1147" s="251"/>
      <c r="C1147" s="253"/>
      <c r="D1147" s="253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5">
      <c r="A1148" s="251"/>
      <c r="C1148" s="253"/>
      <c r="D1148" s="253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5">
      <c r="A1149" s="251"/>
      <c r="C1149" s="253"/>
      <c r="D1149" s="253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5">
      <c r="A1150" s="251"/>
      <c r="C1150" s="253"/>
      <c r="D1150" s="253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5">
      <c r="A1151" s="251"/>
      <c r="C1151" s="253"/>
      <c r="D1151" s="253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5">
      <c r="A1152" s="251"/>
      <c r="C1152" s="253"/>
      <c r="D1152" s="253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5">
      <c r="A1153" s="251"/>
      <c r="C1153" s="253"/>
      <c r="D1153" s="253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5">
      <c r="A1154" s="251"/>
      <c r="C1154" s="253"/>
      <c r="D1154" s="253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5">
      <c r="A1155" s="251"/>
      <c r="C1155" s="253"/>
      <c r="D1155" s="253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5">
      <c r="A1156" s="251"/>
      <c r="C1156" s="253"/>
      <c r="D1156" s="253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5">
      <c r="A1157" s="251"/>
      <c r="C1157" s="253"/>
      <c r="D1157" s="253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5">
      <c r="A1158" s="251"/>
      <c r="C1158" s="253"/>
      <c r="D1158" s="253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5">
      <c r="A1159" s="251"/>
      <c r="C1159" s="253"/>
      <c r="D1159" s="253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5">
      <c r="A1160" s="251"/>
      <c r="C1160" s="253"/>
      <c r="D1160" s="253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5">
      <c r="A1161" s="251"/>
      <c r="C1161" s="253"/>
      <c r="D1161" s="253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5">
      <c r="A1162" s="251"/>
      <c r="C1162" s="253"/>
      <c r="D1162" s="253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5">
      <c r="A1163" s="251"/>
      <c r="C1163" s="253"/>
      <c r="D1163" s="253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5">
      <c r="A1164" s="251"/>
      <c r="C1164" s="253"/>
      <c r="D1164" s="253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5">
      <c r="A1165" s="251"/>
      <c r="C1165" s="253"/>
      <c r="D1165" s="253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5">
      <c r="A1166" s="251"/>
      <c r="C1166" s="253"/>
      <c r="D1166" s="253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5">
      <c r="A1167" s="251"/>
      <c r="C1167" s="253"/>
      <c r="D1167" s="253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5">
      <c r="A1168" s="251"/>
      <c r="C1168" s="253"/>
      <c r="D1168" s="253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5">
      <c r="A1169" s="251"/>
      <c r="C1169" s="253"/>
      <c r="D1169" s="253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5">
      <c r="A1170" s="251"/>
      <c r="C1170" s="253"/>
      <c r="D1170" s="253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5">
      <c r="A1171" s="251"/>
      <c r="C1171" s="253"/>
      <c r="D1171" s="253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5">
      <c r="A1172" s="251"/>
      <c r="C1172" s="253"/>
      <c r="D1172" s="253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5">
      <c r="A1173" s="251"/>
      <c r="C1173" s="253"/>
      <c r="D1173" s="253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5">
      <c r="A1174" s="251"/>
      <c r="C1174" s="253"/>
      <c r="D1174" s="253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5">
      <c r="A1175" s="251"/>
      <c r="C1175" s="253"/>
      <c r="D1175" s="253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5">
      <c r="A1176" s="251"/>
      <c r="C1176" s="253"/>
      <c r="D1176" s="253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5">
      <c r="A1177" s="251"/>
      <c r="C1177" s="253"/>
      <c r="D1177" s="253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5">
      <c r="A1178" s="251"/>
      <c r="C1178" s="253"/>
      <c r="D1178" s="253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5">
      <c r="A1179" s="251"/>
      <c r="C1179" s="253"/>
      <c r="D1179" s="253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5">
      <c r="A1180" s="251"/>
      <c r="C1180" s="253"/>
      <c r="D1180" s="253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5">
      <c r="A1181" s="251"/>
      <c r="C1181" s="253"/>
      <c r="D1181" s="253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5">
      <c r="A1182" s="251"/>
      <c r="C1182" s="253"/>
      <c r="D1182" s="253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5">
      <c r="A1183" s="251"/>
      <c r="C1183" s="253"/>
      <c r="D1183" s="253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5">
      <c r="A1184" s="251"/>
      <c r="C1184" s="253"/>
      <c r="D1184" s="253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5">
      <c r="A1185" s="251"/>
      <c r="C1185" s="253"/>
      <c r="D1185" s="253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5">
      <c r="A1186" s="251"/>
      <c r="C1186" s="253"/>
      <c r="D1186" s="253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5">
      <c r="A1187" s="251"/>
      <c r="C1187" s="253"/>
      <c r="D1187" s="253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5">
      <c r="A1188" s="251"/>
      <c r="C1188" s="253"/>
      <c r="D1188" s="253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5">
      <c r="A1189" s="251"/>
      <c r="C1189" s="253"/>
      <c r="D1189" s="253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5">
      <c r="A1190" s="251"/>
      <c r="C1190" s="253"/>
      <c r="D1190" s="253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5">
      <c r="A1191" s="251"/>
      <c r="C1191" s="253"/>
      <c r="D1191" s="253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5">
      <c r="A1192" s="251"/>
      <c r="C1192" s="253"/>
      <c r="D1192" s="253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5">
      <c r="A1193" s="251"/>
      <c r="C1193" s="253"/>
      <c r="D1193" s="253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5">
      <c r="A1194" s="251"/>
      <c r="C1194" s="253"/>
      <c r="D1194" s="253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5">
      <c r="A1195" s="251"/>
      <c r="C1195" s="253"/>
      <c r="D1195" s="253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5">
      <c r="A1196" s="251"/>
      <c r="C1196" s="253"/>
      <c r="D1196" s="253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5">
      <c r="A1197" s="251"/>
      <c r="C1197" s="253"/>
      <c r="D1197" s="253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5">
      <c r="A1198" s="251"/>
      <c r="C1198" s="253"/>
      <c r="D1198" s="253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5">
      <c r="A1199" s="251"/>
      <c r="C1199" s="253"/>
      <c r="D1199" s="253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5">
      <c r="A1200" s="251"/>
      <c r="C1200" s="253"/>
      <c r="D1200" s="253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5">
      <c r="A1201" s="251"/>
      <c r="C1201" s="253"/>
      <c r="D1201" s="253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5">
      <c r="A1202" s="251"/>
      <c r="C1202" s="253"/>
      <c r="D1202" s="253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5">
      <c r="A1203" s="251"/>
      <c r="C1203" s="253"/>
      <c r="D1203" s="253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5">
      <c r="A1204" s="251"/>
      <c r="C1204" s="253"/>
      <c r="D1204" s="253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5">
      <c r="A1205" s="251"/>
      <c r="C1205" s="253"/>
      <c r="D1205" s="253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5">
      <c r="A1206" s="251"/>
      <c r="C1206" s="253"/>
      <c r="D1206" s="253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5">
      <c r="A1207" s="251"/>
      <c r="C1207" s="253"/>
      <c r="D1207" s="253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5">
      <c r="A1208" s="251"/>
      <c r="C1208" s="253"/>
      <c r="D1208" s="253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5">
      <c r="A1209" s="251"/>
      <c r="C1209" s="253"/>
      <c r="D1209" s="253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5">
      <c r="A1210" s="251"/>
      <c r="C1210" s="253"/>
      <c r="D1210" s="253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5">
      <c r="A1211" s="251"/>
      <c r="C1211" s="253"/>
      <c r="D1211" s="253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5">
      <c r="A1212" s="251"/>
      <c r="C1212" s="253"/>
      <c r="D1212" s="253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5">
      <c r="A1213" s="251"/>
      <c r="C1213" s="253"/>
      <c r="D1213" s="253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5">
      <c r="A1214" s="251"/>
      <c r="C1214" s="253"/>
      <c r="D1214" s="253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5">
      <c r="A1215" s="251"/>
      <c r="C1215" s="253"/>
      <c r="D1215" s="253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5">
      <c r="A1216" s="251"/>
      <c r="C1216" s="253"/>
      <c r="D1216" s="253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5">
      <c r="A1217" s="251"/>
      <c r="C1217" s="253"/>
      <c r="D1217" s="253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5">
      <c r="A1218" s="251"/>
      <c r="C1218" s="253"/>
      <c r="D1218" s="253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5">
      <c r="A1219" s="251"/>
      <c r="C1219" s="253"/>
      <c r="D1219" s="253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5">
      <c r="A1220" s="251"/>
      <c r="C1220" s="253"/>
      <c r="D1220" s="253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5">
      <c r="A1221" s="251"/>
      <c r="C1221" s="253"/>
      <c r="D1221" s="253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5">
      <c r="A1222" s="251"/>
      <c r="C1222" s="253"/>
      <c r="D1222" s="253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5">
      <c r="A1223" s="251"/>
      <c r="C1223" s="253"/>
      <c r="D1223" s="253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5">
      <c r="A1224" s="251"/>
      <c r="C1224" s="253"/>
      <c r="D1224" s="253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5">
      <c r="A1225" s="251"/>
      <c r="C1225" s="253"/>
      <c r="D1225" s="253"/>
      <c r="E1225"/>
      <c r="F1225"/>
      <c r="G1225"/>
      <c r="H1225"/>
      <c r="I1225"/>
      <c r="J1225" s="223" t="s">
        <v>268</v>
      </c>
      <c r="K1225"/>
      <c r="L1225"/>
      <c r="M1225"/>
      <c r="N1225"/>
      <c r="O1225"/>
    </row>
    <row r="1226" spans="1:15" x14ac:dyDescent="0.25">
      <c r="A1226" s="251"/>
      <c r="C1226" s="253"/>
      <c r="D1226" s="253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5">
      <c r="A1227" s="251"/>
      <c r="C1227" s="253"/>
      <c r="D1227" s="253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5">
      <c r="A1228" s="251"/>
      <c r="C1228" s="253"/>
      <c r="D1228" s="253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5">
      <c r="A1229" s="251"/>
      <c r="C1229" s="253"/>
      <c r="D1229" s="253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5">
      <c r="A1230" s="251"/>
      <c r="C1230" s="253"/>
      <c r="D1230" s="253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5">
      <c r="A1231" s="251"/>
      <c r="C1231" s="253"/>
      <c r="D1231" s="253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5">
      <c r="A1232" s="251"/>
      <c r="C1232" s="253"/>
      <c r="D1232" s="253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5">
      <c r="A1233" s="251"/>
      <c r="C1233" s="253"/>
      <c r="D1233" s="253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5">
      <c r="A1234" s="251"/>
      <c r="C1234" s="253"/>
      <c r="D1234" s="253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5">
      <c r="A1235" s="251"/>
      <c r="C1235" s="253"/>
      <c r="D1235" s="253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5">
      <c r="A1236" s="251"/>
      <c r="C1236" s="253"/>
      <c r="D1236" s="253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5">
      <c r="A1237" s="251"/>
      <c r="C1237" s="253"/>
      <c r="D1237" s="253"/>
      <c r="E1237"/>
      <c r="F1237"/>
      <c r="G1237"/>
      <c r="H1237"/>
      <c r="I1237"/>
      <c r="K1237"/>
      <c r="L1237"/>
      <c r="M1237"/>
      <c r="N1237"/>
      <c r="O1237"/>
    </row>
  </sheetData>
  <sheetProtection password="D52D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14" scale="83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topLeftCell="A72" zoomScale="80" zoomScaleNormal="80" zoomScaleSheetLayoutView="55" workbookViewId="0">
      <selection activeCell="B108" sqref="B108"/>
    </sheetView>
  </sheetViews>
  <sheetFormatPr defaultColWidth="9.1796875" defaultRowHeight="15.5" x14ac:dyDescent="0.35"/>
  <cols>
    <col min="1" max="1" width="5" style="120" customWidth="1"/>
    <col min="2" max="2" width="69.7265625" style="188" customWidth="1"/>
    <col min="3" max="3" width="23.81640625" style="188" hidden="1" customWidth="1"/>
    <col min="4" max="4" width="37" style="120" customWidth="1"/>
    <col min="5" max="5" width="23.81640625" style="189" hidden="1" customWidth="1"/>
    <col min="6" max="6" width="37" style="120" customWidth="1"/>
    <col min="7" max="7" width="23.81640625" style="188" hidden="1" customWidth="1"/>
    <col min="8" max="8" width="37" style="120" customWidth="1"/>
    <col min="9" max="9" width="23.81640625" style="190" hidden="1" customWidth="1"/>
    <col min="10" max="10" width="37" style="120" customWidth="1"/>
    <col min="11" max="11" width="10.453125" style="191" customWidth="1"/>
    <col min="12" max="12" width="9.1796875" style="120" hidden="1" customWidth="1"/>
    <col min="13" max="16384" width="9.1796875" style="120"/>
  </cols>
  <sheetData>
    <row r="1" spans="1:13" x14ac:dyDescent="0.35">
      <c r="A1" s="119"/>
      <c r="B1" s="184"/>
      <c r="C1" s="184"/>
      <c r="D1" s="119"/>
      <c r="E1" s="185"/>
      <c r="F1" s="119"/>
      <c r="G1" s="184"/>
      <c r="H1" s="119"/>
      <c r="I1" s="186"/>
      <c r="J1" s="119"/>
      <c r="K1" s="187"/>
      <c r="L1" s="119"/>
      <c r="M1" s="119"/>
    </row>
    <row r="2" spans="1:13" x14ac:dyDescent="0.35">
      <c r="A2" s="116" t="s">
        <v>77</v>
      </c>
      <c r="B2" s="117"/>
      <c r="C2" s="117"/>
      <c r="D2" s="116"/>
      <c r="E2" s="118"/>
      <c r="F2" s="116"/>
      <c r="G2" s="117"/>
      <c r="H2" s="116"/>
      <c r="I2" s="117"/>
      <c r="J2" s="116"/>
      <c r="K2" s="119"/>
      <c r="L2" s="119"/>
      <c r="M2" s="119"/>
    </row>
    <row r="3" spans="1:13" x14ac:dyDescent="0.35">
      <c r="A3" s="116" t="s">
        <v>78</v>
      </c>
      <c r="B3" s="117"/>
      <c r="C3" s="117"/>
      <c r="D3" s="116"/>
      <c r="E3" s="118"/>
      <c r="F3" s="116"/>
      <c r="G3" s="117"/>
      <c r="H3" s="116"/>
      <c r="I3" s="117"/>
      <c r="J3" s="116"/>
      <c r="K3" s="116"/>
      <c r="L3" s="116"/>
      <c r="M3" s="119"/>
    </row>
    <row r="4" spans="1:13" s="126" customFormat="1" x14ac:dyDescent="0.25">
      <c r="A4" s="121"/>
      <c r="B4" s="122"/>
      <c r="C4" s="122"/>
      <c r="D4" s="123"/>
      <c r="E4" s="124"/>
      <c r="F4" s="121"/>
      <c r="G4" s="125"/>
      <c r="H4" s="121"/>
      <c r="I4" s="122"/>
      <c r="J4" s="123"/>
      <c r="K4" s="79"/>
      <c r="L4" s="79"/>
      <c r="M4" s="77"/>
    </row>
    <row r="5" spans="1:13" ht="33.75" customHeight="1" x14ac:dyDescent="0.35">
      <c r="A5" s="127" t="s">
        <v>79</v>
      </c>
      <c r="B5" s="127" t="s">
        <v>80</v>
      </c>
      <c r="C5" s="128" t="s">
        <v>81</v>
      </c>
      <c r="D5" s="128" t="s">
        <v>81</v>
      </c>
      <c r="E5" s="129" t="s">
        <v>82</v>
      </c>
      <c r="F5" s="129" t="s">
        <v>82</v>
      </c>
      <c r="G5" s="130" t="s">
        <v>83</v>
      </c>
      <c r="H5" s="130" t="s">
        <v>83</v>
      </c>
      <c r="I5" s="131" t="s">
        <v>84</v>
      </c>
      <c r="J5" s="131" t="s">
        <v>85</v>
      </c>
      <c r="K5" s="119"/>
      <c r="L5" s="119"/>
      <c r="M5" s="119"/>
    </row>
    <row r="6" spans="1:13" x14ac:dyDescent="0.35">
      <c r="A6" s="132"/>
      <c r="B6" s="133"/>
      <c r="C6" s="128">
        <v>0</v>
      </c>
      <c r="D6" s="134">
        <v>0</v>
      </c>
      <c r="E6" s="129">
        <v>1</v>
      </c>
      <c r="F6" s="135">
        <v>1</v>
      </c>
      <c r="G6" s="130">
        <v>2</v>
      </c>
      <c r="H6" s="136">
        <v>2</v>
      </c>
      <c r="I6" s="131">
        <v>3</v>
      </c>
      <c r="J6" s="137">
        <v>3</v>
      </c>
      <c r="K6" s="119"/>
      <c r="L6" s="148" t="s">
        <v>86</v>
      </c>
      <c r="M6" s="119"/>
    </row>
    <row r="7" spans="1:13" s="126" customFormat="1" x14ac:dyDescent="0.25">
      <c r="A7" s="138" t="s">
        <v>269</v>
      </c>
      <c r="B7" s="139"/>
      <c r="C7" s="139"/>
      <c r="D7" s="140"/>
      <c r="E7" s="141"/>
      <c r="F7" s="140"/>
      <c r="G7" s="139"/>
      <c r="H7" s="140"/>
      <c r="I7" s="139"/>
      <c r="J7" s="142"/>
      <c r="K7" s="77"/>
      <c r="L7" s="148" t="s">
        <v>87</v>
      </c>
      <c r="M7" s="77"/>
    </row>
    <row r="8" spans="1:13" x14ac:dyDescent="0.35">
      <c r="A8" s="143" t="s">
        <v>270</v>
      </c>
      <c r="B8" s="144"/>
      <c r="C8" s="144"/>
      <c r="D8" s="145"/>
      <c r="E8" s="146"/>
      <c r="F8" s="145"/>
      <c r="G8" s="144"/>
      <c r="H8" s="145"/>
      <c r="I8" s="144"/>
      <c r="J8" s="147"/>
      <c r="K8" s="119"/>
      <c r="L8" s="148" t="s">
        <v>88</v>
      </c>
      <c r="M8" s="119"/>
    </row>
    <row r="9" spans="1:13" ht="31" x14ac:dyDescent="0.35">
      <c r="A9" s="148">
        <v>1</v>
      </c>
      <c r="B9" s="149" t="s">
        <v>292</v>
      </c>
      <c r="C9" s="150"/>
      <c r="D9" s="151" t="s">
        <v>89</v>
      </c>
      <c r="E9" s="199">
        <v>0.7</v>
      </c>
      <c r="F9" s="151" t="s">
        <v>90</v>
      </c>
      <c r="G9" s="199">
        <v>0.81</v>
      </c>
      <c r="H9" s="151" t="s">
        <v>91</v>
      </c>
      <c r="I9" s="199">
        <v>0.91</v>
      </c>
      <c r="J9" s="151" t="s">
        <v>92</v>
      </c>
      <c r="K9" s="119"/>
      <c r="L9" s="119"/>
      <c r="M9" s="119"/>
    </row>
    <row r="10" spans="1:13" ht="31" x14ac:dyDescent="0.35">
      <c r="A10" s="148">
        <v>2</v>
      </c>
      <c r="B10" s="149" t="s">
        <v>293</v>
      </c>
      <c r="C10" s="153"/>
      <c r="D10" s="154" t="s">
        <v>93</v>
      </c>
      <c r="E10" s="199">
        <v>0.2</v>
      </c>
      <c r="F10" s="151" t="s">
        <v>94</v>
      </c>
      <c r="G10" s="199">
        <v>0.4</v>
      </c>
      <c r="H10" s="151" t="s">
        <v>95</v>
      </c>
      <c r="I10" s="199">
        <v>0.5</v>
      </c>
      <c r="J10" s="151" t="s">
        <v>96</v>
      </c>
      <c r="K10" s="119"/>
      <c r="L10" s="148" t="s">
        <v>86</v>
      </c>
      <c r="M10" s="119"/>
    </row>
    <row r="11" spans="1:13" x14ac:dyDescent="0.35">
      <c r="A11" s="155"/>
      <c r="B11" s="156"/>
      <c r="C11" s="157"/>
      <c r="D11" s="158"/>
      <c r="E11" s="200"/>
      <c r="F11" s="160"/>
      <c r="G11" s="200"/>
      <c r="H11" s="160"/>
      <c r="I11" s="200"/>
      <c r="J11" s="161"/>
      <c r="K11" s="119"/>
      <c r="L11" s="148" t="s">
        <v>97</v>
      </c>
      <c r="M11" s="119"/>
    </row>
    <row r="12" spans="1:13" x14ac:dyDescent="0.35">
      <c r="A12" s="143" t="s">
        <v>219</v>
      </c>
      <c r="B12" s="144"/>
      <c r="C12" s="144"/>
      <c r="D12" s="145"/>
      <c r="E12" s="201"/>
      <c r="F12" s="145"/>
      <c r="G12" s="205"/>
      <c r="H12" s="145"/>
      <c r="I12" s="205"/>
      <c r="J12" s="147"/>
      <c r="K12" s="119"/>
      <c r="L12" s="148" t="s">
        <v>98</v>
      </c>
      <c r="M12" s="119"/>
    </row>
    <row r="13" spans="1:13" x14ac:dyDescent="0.35">
      <c r="A13" s="148">
        <v>3</v>
      </c>
      <c r="B13" s="149" t="s">
        <v>294</v>
      </c>
      <c r="C13" s="152"/>
      <c r="D13" s="162" t="s">
        <v>286</v>
      </c>
      <c r="E13" s="199">
        <v>7.0000000000000007E-2</v>
      </c>
      <c r="F13" s="148" t="s">
        <v>285</v>
      </c>
      <c r="G13" s="199">
        <v>5.9900000000000002E-2</v>
      </c>
      <c r="H13" s="148" t="s">
        <v>284</v>
      </c>
      <c r="I13" s="199">
        <v>0.04</v>
      </c>
      <c r="J13" s="148" t="s">
        <v>283</v>
      </c>
      <c r="K13" s="119"/>
      <c r="L13" s="148" t="s">
        <v>99</v>
      </c>
      <c r="M13" s="119"/>
    </row>
    <row r="14" spans="1:13" ht="31" x14ac:dyDescent="0.35">
      <c r="A14" s="148">
        <f>A13+1</f>
        <v>4</v>
      </c>
      <c r="B14" s="149" t="s">
        <v>295</v>
      </c>
      <c r="C14" s="152"/>
      <c r="D14" s="162" t="s">
        <v>290</v>
      </c>
      <c r="E14" s="199">
        <v>0.15</v>
      </c>
      <c r="F14" s="148" t="s">
        <v>289</v>
      </c>
      <c r="G14" s="199">
        <v>0.1099</v>
      </c>
      <c r="H14" s="148" t="s">
        <v>288</v>
      </c>
      <c r="I14" s="199">
        <v>0.06</v>
      </c>
      <c r="J14" s="148" t="s">
        <v>287</v>
      </c>
      <c r="K14" s="119"/>
      <c r="L14" s="148" t="s">
        <v>88</v>
      </c>
      <c r="M14" s="119"/>
    </row>
    <row r="15" spans="1:13" x14ac:dyDescent="0.35">
      <c r="A15" s="148">
        <f>A14+1</f>
        <v>5</v>
      </c>
      <c r="B15" s="149" t="s">
        <v>291</v>
      </c>
      <c r="C15" s="152"/>
      <c r="D15" s="163" t="s">
        <v>100</v>
      </c>
      <c r="E15" s="199">
        <v>0.04</v>
      </c>
      <c r="F15" s="148" t="s">
        <v>101</v>
      </c>
      <c r="G15" s="199">
        <v>2.9899999999999999E-2</v>
      </c>
      <c r="H15" s="148" t="s">
        <v>102</v>
      </c>
      <c r="I15" s="199">
        <v>0.01</v>
      </c>
      <c r="J15" s="148" t="s">
        <v>103</v>
      </c>
      <c r="K15" s="119"/>
      <c r="L15" s="119"/>
      <c r="M15" s="119"/>
    </row>
    <row r="16" spans="1:13" ht="31" x14ac:dyDescent="0.35">
      <c r="A16" s="148">
        <f>A15+1</f>
        <v>6</v>
      </c>
      <c r="B16" s="149" t="s">
        <v>296</v>
      </c>
      <c r="C16" s="152"/>
      <c r="D16" s="163" t="s">
        <v>100</v>
      </c>
      <c r="E16" s="199">
        <v>0.04</v>
      </c>
      <c r="F16" s="148" t="s">
        <v>101</v>
      </c>
      <c r="G16" s="199">
        <v>2.9899999999999999E-2</v>
      </c>
      <c r="H16" s="148" t="s">
        <v>102</v>
      </c>
      <c r="I16" s="199">
        <v>0.01</v>
      </c>
      <c r="J16" s="148" t="s">
        <v>103</v>
      </c>
      <c r="K16" s="119"/>
      <c r="L16" s="148" t="s">
        <v>104</v>
      </c>
      <c r="M16" s="119"/>
    </row>
    <row r="17" spans="1:13" x14ac:dyDescent="0.35">
      <c r="A17" s="148">
        <f>A16+1</f>
        <v>7</v>
      </c>
      <c r="B17" s="91" t="s">
        <v>305</v>
      </c>
      <c r="C17" s="150" t="s">
        <v>86</v>
      </c>
      <c r="D17" s="148" t="s">
        <v>86</v>
      </c>
      <c r="E17" s="202"/>
      <c r="F17" s="148"/>
      <c r="G17" s="199"/>
      <c r="H17" s="148"/>
      <c r="I17" s="202" t="s">
        <v>87</v>
      </c>
      <c r="J17" s="148" t="s">
        <v>87</v>
      </c>
      <c r="K17" s="119"/>
      <c r="L17" s="148" t="s">
        <v>106</v>
      </c>
      <c r="M17" s="119"/>
    </row>
    <row r="18" spans="1:13" x14ac:dyDescent="0.35">
      <c r="A18" s="148">
        <f>A17+1</f>
        <v>8</v>
      </c>
      <c r="B18" s="164" t="s">
        <v>297</v>
      </c>
      <c r="C18" s="150" t="s">
        <v>86</v>
      </c>
      <c r="D18" s="148" t="s">
        <v>86</v>
      </c>
      <c r="E18" s="202"/>
      <c r="F18" s="148"/>
      <c r="G18" s="199"/>
      <c r="H18" s="148"/>
      <c r="I18" s="202" t="s">
        <v>87</v>
      </c>
      <c r="J18" s="148" t="s">
        <v>87</v>
      </c>
      <c r="K18" s="119"/>
      <c r="L18" s="148" t="s">
        <v>106</v>
      </c>
      <c r="M18" s="119"/>
    </row>
    <row r="19" spans="1:13" x14ac:dyDescent="0.35">
      <c r="A19" s="155"/>
      <c r="B19" s="165"/>
      <c r="C19" s="166"/>
      <c r="D19" s="167"/>
      <c r="E19" s="203"/>
      <c r="F19" s="167"/>
      <c r="G19" s="200"/>
      <c r="H19" s="167"/>
      <c r="I19" s="200"/>
      <c r="J19" s="168"/>
      <c r="K19" s="119"/>
      <c r="L19" s="318" t="s">
        <v>92</v>
      </c>
      <c r="M19" s="119"/>
    </row>
    <row r="20" spans="1:13" x14ac:dyDescent="0.35">
      <c r="A20" s="143" t="s">
        <v>107</v>
      </c>
      <c r="B20" s="144"/>
      <c r="C20" s="144"/>
      <c r="D20" s="145"/>
      <c r="E20" s="201"/>
      <c r="F20" s="145"/>
      <c r="G20" s="205"/>
      <c r="H20" s="145"/>
      <c r="I20" s="205"/>
      <c r="J20" s="147"/>
      <c r="K20" s="119"/>
      <c r="L20" s="148" t="s">
        <v>88</v>
      </c>
      <c r="M20" s="119"/>
    </row>
    <row r="21" spans="1:13" x14ac:dyDescent="0.35">
      <c r="A21" s="148">
        <v>9</v>
      </c>
      <c r="B21" s="169" t="s">
        <v>320</v>
      </c>
      <c r="C21" s="150"/>
      <c r="D21" s="148" t="s">
        <v>108</v>
      </c>
      <c r="E21" s="202">
        <v>3</v>
      </c>
      <c r="F21" s="148" t="s">
        <v>109</v>
      </c>
      <c r="G21" s="199">
        <v>4</v>
      </c>
      <c r="H21" s="148" t="s">
        <v>110</v>
      </c>
      <c r="I21" s="199">
        <v>6</v>
      </c>
      <c r="J21" s="148" t="s">
        <v>111</v>
      </c>
      <c r="K21" s="119"/>
      <c r="L21" s="119"/>
      <c r="M21" s="119"/>
    </row>
    <row r="22" spans="1:13" x14ac:dyDescent="0.35">
      <c r="A22" s="148">
        <f>A21+1</f>
        <v>10</v>
      </c>
      <c r="B22" s="169" t="s">
        <v>321</v>
      </c>
      <c r="C22" s="150"/>
      <c r="D22" s="148" t="s">
        <v>112</v>
      </c>
      <c r="E22" s="202">
        <v>2</v>
      </c>
      <c r="F22" s="148" t="s">
        <v>113</v>
      </c>
      <c r="G22" s="199">
        <v>3</v>
      </c>
      <c r="H22" s="148" t="s">
        <v>114</v>
      </c>
      <c r="I22" s="199">
        <v>5</v>
      </c>
      <c r="J22" s="148" t="s">
        <v>115</v>
      </c>
      <c r="K22" s="119"/>
      <c r="L22" s="148" t="s">
        <v>116</v>
      </c>
      <c r="M22" s="119"/>
    </row>
    <row r="23" spans="1:13" x14ac:dyDescent="0.35">
      <c r="A23" s="148">
        <f>A22+1</f>
        <v>11</v>
      </c>
      <c r="B23" s="149" t="s">
        <v>322</v>
      </c>
      <c r="C23" s="150"/>
      <c r="D23" s="148" t="s">
        <v>117</v>
      </c>
      <c r="E23" s="202">
        <v>1</v>
      </c>
      <c r="F23" s="148" t="s">
        <v>118</v>
      </c>
      <c r="G23" s="199">
        <v>2</v>
      </c>
      <c r="H23" s="148" t="s">
        <v>113</v>
      </c>
      <c r="I23" s="199">
        <v>3</v>
      </c>
      <c r="J23" s="148" t="s">
        <v>119</v>
      </c>
      <c r="K23" s="119"/>
      <c r="L23" s="148" t="s">
        <v>120</v>
      </c>
      <c r="M23" s="119"/>
    </row>
    <row r="24" spans="1:13" s="126" customFormat="1" x14ac:dyDescent="0.25">
      <c r="A24" s="148">
        <f>A23+1</f>
        <v>12</v>
      </c>
      <c r="B24" s="149" t="s">
        <v>323</v>
      </c>
      <c r="C24" s="150" t="s">
        <v>86</v>
      </c>
      <c r="D24" s="148" t="s">
        <v>86</v>
      </c>
      <c r="E24" s="202" t="s">
        <v>97</v>
      </c>
      <c r="F24" s="148" t="s">
        <v>97</v>
      </c>
      <c r="G24" s="202" t="s">
        <v>98</v>
      </c>
      <c r="H24" s="148" t="s">
        <v>98</v>
      </c>
      <c r="I24" s="202" t="s">
        <v>99</v>
      </c>
      <c r="J24" s="148" t="s">
        <v>99</v>
      </c>
      <c r="K24" s="77"/>
      <c r="L24" s="148" t="s">
        <v>121</v>
      </c>
      <c r="M24" s="77"/>
    </row>
    <row r="25" spans="1:13" s="126" customFormat="1" ht="31" x14ac:dyDescent="0.25">
      <c r="A25" s="155">
        <v>13</v>
      </c>
      <c r="B25" s="149" t="s">
        <v>324</v>
      </c>
      <c r="C25" s="150" t="s">
        <v>86</v>
      </c>
      <c r="D25" s="148" t="s">
        <v>86</v>
      </c>
      <c r="E25" s="202" t="s">
        <v>97</v>
      </c>
      <c r="F25" s="148" t="s">
        <v>97</v>
      </c>
      <c r="G25" s="202" t="s">
        <v>98</v>
      </c>
      <c r="H25" s="148" t="s">
        <v>98</v>
      </c>
      <c r="I25" s="202" t="s">
        <v>99</v>
      </c>
      <c r="J25" s="148" t="s">
        <v>99</v>
      </c>
      <c r="K25" s="77"/>
      <c r="L25" s="148"/>
      <c r="M25" s="77"/>
    </row>
    <row r="26" spans="1:13" s="126" customFormat="1" x14ac:dyDescent="0.25">
      <c r="A26" s="155"/>
      <c r="B26" s="156"/>
      <c r="C26" s="166"/>
      <c r="D26" s="167"/>
      <c r="E26" s="203"/>
      <c r="F26" s="167"/>
      <c r="G26" s="200"/>
      <c r="H26" s="167"/>
      <c r="I26" s="200"/>
      <c r="J26" s="168"/>
      <c r="K26" s="77"/>
      <c r="L26" s="148" t="s">
        <v>122</v>
      </c>
      <c r="M26" s="77"/>
    </row>
    <row r="27" spans="1:13" s="126" customFormat="1" x14ac:dyDescent="0.25">
      <c r="A27" s="155"/>
      <c r="B27" s="156"/>
      <c r="C27" s="166"/>
      <c r="D27" s="167"/>
      <c r="E27" s="203"/>
      <c r="F27" s="167"/>
      <c r="G27" s="200"/>
      <c r="H27" s="167"/>
      <c r="I27" s="200"/>
      <c r="J27" s="168"/>
      <c r="K27" s="77"/>
      <c r="L27" s="148" t="s">
        <v>88</v>
      </c>
      <c r="M27" s="77"/>
    </row>
    <row r="28" spans="1:13" s="126" customFormat="1" x14ac:dyDescent="0.35">
      <c r="A28" s="138" t="s">
        <v>123</v>
      </c>
      <c r="B28" s="139"/>
      <c r="C28" s="139"/>
      <c r="D28" s="140"/>
      <c r="E28" s="204"/>
      <c r="F28" s="140"/>
      <c r="G28" s="206"/>
      <c r="H28" s="140"/>
      <c r="I28" s="206"/>
      <c r="J28" s="142"/>
      <c r="K28" s="77"/>
      <c r="L28" s="119"/>
      <c r="M28" s="77"/>
    </row>
    <row r="29" spans="1:13" x14ac:dyDescent="0.35">
      <c r="A29" s="143" t="s">
        <v>124</v>
      </c>
      <c r="B29" s="144"/>
      <c r="C29" s="144"/>
      <c r="D29" s="145"/>
      <c r="E29" s="201"/>
      <c r="F29" s="145"/>
      <c r="G29" s="205"/>
      <c r="H29" s="145"/>
      <c r="I29" s="205"/>
      <c r="J29" s="147"/>
      <c r="K29" s="119"/>
      <c r="L29" s="148" t="s">
        <v>125</v>
      </c>
      <c r="M29" s="119"/>
    </row>
    <row r="30" spans="1:13" x14ac:dyDescent="0.35">
      <c r="A30" s="148">
        <v>14</v>
      </c>
      <c r="B30" s="149" t="s">
        <v>333</v>
      </c>
      <c r="C30" s="150" t="s">
        <v>86</v>
      </c>
      <c r="D30" s="148" t="s">
        <v>86</v>
      </c>
      <c r="E30" s="202" t="s">
        <v>97</v>
      </c>
      <c r="F30" s="148" t="s">
        <v>97</v>
      </c>
      <c r="G30" s="202" t="s">
        <v>98</v>
      </c>
      <c r="H30" s="148" t="s">
        <v>98</v>
      </c>
      <c r="I30" s="202" t="s">
        <v>99</v>
      </c>
      <c r="J30" s="148" t="s">
        <v>99</v>
      </c>
      <c r="K30" s="119"/>
      <c r="L30" s="148" t="s">
        <v>126</v>
      </c>
      <c r="M30" s="119"/>
    </row>
    <row r="31" spans="1:13" x14ac:dyDescent="0.35">
      <c r="A31" s="148">
        <v>15</v>
      </c>
      <c r="B31" s="149" t="s">
        <v>334</v>
      </c>
      <c r="C31" s="150" t="s">
        <v>86</v>
      </c>
      <c r="D31" s="148" t="s">
        <v>86</v>
      </c>
      <c r="E31" s="202" t="s">
        <v>97</v>
      </c>
      <c r="F31" s="148" t="s">
        <v>97</v>
      </c>
      <c r="G31" s="202" t="s">
        <v>98</v>
      </c>
      <c r="H31" s="148" t="s">
        <v>98</v>
      </c>
      <c r="I31" s="202" t="s">
        <v>99</v>
      </c>
      <c r="J31" s="148" t="s">
        <v>99</v>
      </c>
      <c r="K31" s="119"/>
      <c r="L31" s="148" t="s">
        <v>127</v>
      </c>
      <c r="M31" s="119"/>
    </row>
    <row r="32" spans="1:13" x14ac:dyDescent="0.35">
      <c r="A32" s="155"/>
      <c r="B32" s="156"/>
      <c r="C32" s="166"/>
      <c r="D32" s="167"/>
      <c r="E32" s="203"/>
      <c r="F32" s="167"/>
      <c r="G32" s="200"/>
      <c r="H32" s="167"/>
      <c r="I32" s="200"/>
      <c r="J32" s="168"/>
      <c r="K32" s="119"/>
      <c r="L32" s="148" t="s">
        <v>128</v>
      </c>
      <c r="M32" s="119"/>
    </row>
    <row r="33" spans="1:13" x14ac:dyDescent="0.35">
      <c r="A33" s="143" t="s">
        <v>129</v>
      </c>
      <c r="B33" s="144"/>
      <c r="C33" s="144"/>
      <c r="D33" s="145"/>
      <c r="E33" s="201"/>
      <c r="F33" s="145"/>
      <c r="G33" s="205"/>
      <c r="H33" s="145"/>
      <c r="I33" s="205"/>
      <c r="J33" s="147"/>
      <c r="K33" s="119"/>
      <c r="L33" s="148" t="s">
        <v>88</v>
      </c>
      <c r="M33" s="119"/>
    </row>
    <row r="34" spans="1:13" x14ac:dyDescent="0.35">
      <c r="A34" s="148">
        <v>16</v>
      </c>
      <c r="B34" s="149" t="s">
        <v>336</v>
      </c>
      <c r="C34" s="150" t="s">
        <v>86</v>
      </c>
      <c r="D34" s="148" t="s">
        <v>86</v>
      </c>
      <c r="E34" s="202"/>
      <c r="F34" s="148"/>
      <c r="G34" s="199"/>
      <c r="H34" s="148"/>
      <c r="I34" s="202" t="s">
        <v>87</v>
      </c>
      <c r="J34" s="148" t="s">
        <v>87</v>
      </c>
      <c r="K34" s="119"/>
      <c r="L34" s="119"/>
      <c r="M34" s="119"/>
    </row>
    <row r="35" spans="1:13" ht="46.5" x14ac:dyDescent="0.35">
      <c r="A35" s="148">
        <v>17</v>
      </c>
      <c r="B35" s="149" t="s">
        <v>340</v>
      </c>
      <c r="C35" s="150" t="s">
        <v>86</v>
      </c>
      <c r="D35" s="148" t="s">
        <v>86</v>
      </c>
      <c r="E35" s="202" t="s">
        <v>97</v>
      </c>
      <c r="F35" s="148" t="s">
        <v>97</v>
      </c>
      <c r="G35" s="202" t="s">
        <v>98</v>
      </c>
      <c r="H35" s="148" t="s">
        <v>98</v>
      </c>
      <c r="I35" s="202" t="s">
        <v>99</v>
      </c>
      <c r="J35" s="148" t="s">
        <v>99</v>
      </c>
      <c r="K35" s="119"/>
      <c r="L35" s="119"/>
      <c r="M35" s="119"/>
    </row>
    <row r="36" spans="1:13" ht="31" x14ac:dyDescent="0.35">
      <c r="A36" s="148">
        <v>18</v>
      </c>
      <c r="B36" s="149" t="s">
        <v>350</v>
      </c>
      <c r="C36" s="150" t="s">
        <v>86</v>
      </c>
      <c r="D36" s="148" t="s">
        <v>86</v>
      </c>
      <c r="E36" s="202"/>
      <c r="F36" s="148"/>
      <c r="G36" s="199"/>
      <c r="H36" s="148"/>
      <c r="I36" s="202" t="s">
        <v>87</v>
      </c>
      <c r="J36" s="148" t="s">
        <v>87</v>
      </c>
      <c r="K36" s="119"/>
      <c r="L36" s="119"/>
      <c r="M36" s="119"/>
    </row>
    <row r="37" spans="1:13" x14ac:dyDescent="0.35">
      <c r="A37" s="155"/>
      <c r="B37" s="156"/>
      <c r="C37" s="166"/>
      <c r="D37" s="167"/>
      <c r="E37" s="203"/>
      <c r="F37" s="167"/>
      <c r="G37" s="200"/>
      <c r="H37" s="167"/>
      <c r="I37" s="203"/>
      <c r="J37" s="168"/>
      <c r="K37" s="119"/>
      <c r="L37" s="119"/>
      <c r="M37" s="119"/>
    </row>
    <row r="38" spans="1:13" x14ac:dyDescent="0.35">
      <c r="A38" s="155"/>
      <c r="B38" s="156"/>
      <c r="C38" s="166"/>
      <c r="D38" s="167"/>
      <c r="E38" s="203"/>
      <c r="F38" s="167"/>
      <c r="G38" s="200"/>
      <c r="H38" s="167"/>
      <c r="I38" s="203"/>
      <c r="J38" s="168"/>
      <c r="K38" s="119"/>
      <c r="L38" s="119"/>
      <c r="M38" s="119"/>
    </row>
    <row r="39" spans="1:13" x14ac:dyDescent="0.35">
      <c r="A39" s="143" t="s">
        <v>356</v>
      </c>
      <c r="B39" s="144"/>
      <c r="C39" s="144"/>
      <c r="D39" s="145"/>
      <c r="E39" s="201"/>
      <c r="F39" s="145"/>
      <c r="G39" s="205"/>
      <c r="H39" s="145"/>
      <c r="I39" s="205"/>
      <c r="J39" s="147"/>
      <c r="K39" s="119"/>
      <c r="L39" s="119"/>
      <c r="M39" s="119"/>
    </row>
    <row r="40" spans="1:13" x14ac:dyDescent="0.35">
      <c r="A40" s="148">
        <v>19</v>
      </c>
      <c r="B40" s="149" t="s">
        <v>358</v>
      </c>
      <c r="C40" s="152"/>
      <c r="D40" s="170" t="s">
        <v>130</v>
      </c>
      <c r="E40" s="199">
        <v>0.71</v>
      </c>
      <c r="F40" s="148" t="s">
        <v>131</v>
      </c>
      <c r="G40" s="199">
        <v>0.81</v>
      </c>
      <c r="H40" s="148" t="s">
        <v>91</v>
      </c>
      <c r="I40" s="199">
        <v>0.91</v>
      </c>
      <c r="J40" s="171" t="s">
        <v>132</v>
      </c>
      <c r="K40" s="119"/>
      <c r="L40" s="119"/>
      <c r="M40" s="119"/>
    </row>
    <row r="41" spans="1:13" ht="31" x14ac:dyDescent="0.35">
      <c r="A41" s="148">
        <v>20</v>
      </c>
      <c r="B41" s="164" t="s">
        <v>359</v>
      </c>
      <c r="C41" s="150"/>
      <c r="D41" s="148" t="s">
        <v>93</v>
      </c>
      <c r="E41" s="199">
        <v>0.2</v>
      </c>
      <c r="F41" s="148" t="s">
        <v>133</v>
      </c>
      <c r="G41" s="199">
        <v>0.51</v>
      </c>
      <c r="H41" s="148" t="s">
        <v>134</v>
      </c>
      <c r="I41" s="199">
        <v>0.8</v>
      </c>
      <c r="J41" s="172" t="s">
        <v>135</v>
      </c>
      <c r="K41" s="119"/>
      <c r="L41" s="119"/>
      <c r="M41" s="119"/>
    </row>
    <row r="42" spans="1:13" s="126" customFormat="1" ht="31" x14ac:dyDescent="0.25">
      <c r="A42" s="148">
        <f>+A41+1</f>
        <v>21</v>
      </c>
      <c r="B42" s="164" t="s">
        <v>362</v>
      </c>
      <c r="C42" s="150"/>
      <c r="D42" s="148" t="s">
        <v>93</v>
      </c>
      <c r="E42" s="199">
        <v>0.2</v>
      </c>
      <c r="F42" s="148" t="s">
        <v>136</v>
      </c>
      <c r="G42" s="199">
        <v>0.51</v>
      </c>
      <c r="H42" s="148" t="s">
        <v>134</v>
      </c>
      <c r="I42" s="199">
        <v>0.8</v>
      </c>
      <c r="J42" s="172" t="s">
        <v>135</v>
      </c>
      <c r="K42" s="77"/>
      <c r="L42" s="77"/>
      <c r="M42" s="77"/>
    </row>
    <row r="43" spans="1:13" s="126" customFormat="1" x14ac:dyDescent="0.25">
      <c r="A43" s="155"/>
      <c r="B43" s="165"/>
      <c r="C43" s="166"/>
      <c r="D43" s="167"/>
      <c r="E43" s="200"/>
      <c r="F43" s="167"/>
      <c r="G43" s="200"/>
      <c r="H43" s="167"/>
      <c r="I43" s="200"/>
      <c r="J43" s="173"/>
      <c r="K43" s="77"/>
      <c r="L43" s="77"/>
      <c r="M43" s="77"/>
    </row>
    <row r="44" spans="1:13" x14ac:dyDescent="0.35">
      <c r="A44" s="143" t="s">
        <v>137</v>
      </c>
      <c r="B44" s="144"/>
      <c r="C44" s="144"/>
      <c r="D44" s="145"/>
      <c r="E44" s="201"/>
      <c r="F44" s="145"/>
      <c r="G44" s="205"/>
      <c r="H44" s="145"/>
      <c r="I44" s="205"/>
      <c r="J44" s="147"/>
      <c r="K44" s="119"/>
      <c r="L44" s="119"/>
      <c r="M44" s="119"/>
    </row>
    <row r="45" spans="1:13" s="126" customFormat="1" ht="31" x14ac:dyDescent="0.25">
      <c r="A45" s="148">
        <v>22</v>
      </c>
      <c r="B45" s="164" t="s">
        <v>364</v>
      </c>
      <c r="C45" s="150" t="s">
        <v>86</v>
      </c>
      <c r="D45" s="148" t="s">
        <v>86</v>
      </c>
      <c r="E45" s="202" t="s">
        <v>97</v>
      </c>
      <c r="F45" s="148" t="s">
        <v>97</v>
      </c>
      <c r="G45" s="202" t="s">
        <v>98</v>
      </c>
      <c r="H45" s="148" t="s">
        <v>98</v>
      </c>
      <c r="I45" s="202" t="s">
        <v>99</v>
      </c>
      <c r="J45" s="148" t="s">
        <v>99</v>
      </c>
      <c r="K45" s="77"/>
      <c r="L45" s="77"/>
      <c r="M45" s="77"/>
    </row>
    <row r="46" spans="1:13" s="174" customFormat="1" ht="31" x14ac:dyDescent="0.25">
      <c r="A46" s="150">
        <v>23</v>
      </c>
      <c r="B46" s="149" t="s">
        <v>366</v>
      </c>
      <c r="C46" s="150" t="s">
        <v>86</v>
      </c>
      <c r="D46" s="148" t="s">
        <v>86</v>
      </c>
      <c r="E46" s="202" t="s">
        <v>97</v>
      </c>
      <c r="F46" s="148" t="s">
        <v>97</v>
      </c>
      <c r="G46" s="202" t="s">
        <v>98</v>
      </c>
      <c r="H46" s="148" t="s">
        <v>98</v>
      </c>
      <c r="I46" s="202" t="s">
        <v>99</v>
      </c>
      <c r="J46" s="148" t="s">
        <v>99</v>
      </c>
      <c r="K46" s="80"/>
      <c r="L46" s="80"/>
      <c r="M46" s="80"/>
    </row>
    <row r="47" spans="1:13" s="174" customFormat="1" x14ac:dyDescent="0.25">
      <c r="A47" s="175"/>
      <c r="B47" s="156"/>
      <c r="C47" s="166"/>
      <c r="D47" s="167"/>
      <c r="E47" s="203"/>
      <c r="F47" s="167"/>
      <c r="G47" s="200"/>
      <c r="H47" s="167"/>
      <c r="I47" s="200"/>
      <c r="J47" s="168"/>
      <c r="K47" s="80"/>
      <c r="L47" s="80"/>
      <c r="M47" s="80"/>
    </row>
    <row r="48" spans="1:13" s="174" customFormat="1" x14ac:dyDescent="0.25">
      <c r="A48" s="175"/>
      <c r="B48" s="156"/>
      <c r="C48" s="166"/>
      <c r="D48" s="167"/>
      <c r="E48" s="203"/>
      <c r="F48" s="167"/>
      <c r="G48" s="200"/>
      <c r="H48" s="167"/>
      <c r="I48" s="200"/>
      <c r="J48" s="168"/>
      <c r="K48" s="80"/>
      <c r="L48" s="80"/>
      <c r="M48" s="80"/>
    </row>
    <row r="49" spans="1:13" s="177" customFormat="1" x14ac:dyDescent="0.25">
      <c r="A49" s="138" t="s">
        <v>138</v>
      </c>
      <c r="B49" s="139"/>
      <c r="C49" s="139"/>
      <c r="D49" s="140"/>
      <c r="E49" s="204"/>
      <c r="F49" s="140"/>
      <c r="G49" s="206"/>
      <c r="H49" s="140"/>
      <c r="I49" s="206"/>
      <c r="J49" s="142"/>
      <c r="K49" s="176"/>
      <c r="L49" s="176"/>
      <c r="M49" s="176"/>
    </row>
    <row r="50" spans="1:13" x14ac:dyDescent="0.35">
      <c r="A50" s="143" t="s">
        <v>230</v>
      </c>
      <c r="B50" s="144"/>
      <c r="C50" s="144"/>
      <c r="D50" s="145"/>
      <c r="E50" s="201"/>
      <c r="F50" s="145"/>
      <c r="G50" s="205"/>
      <c r="H50" s="145"/>
      <c r="I50" s="205"/>
      <c r="J50" s="147"/>
      <c r="K50" s="119"/>
      <c r="L50" s="119"/>
      <c r="M50" s="119"/>
    </row>
    <row r="51" spans="1:13" s="126" customFormat="1" ht="31" x14ac:dyDescent="0.25">
      <c r="A51" s="148">
        <v>24</v>
      </c>
      <c r="B51" s="149" t="s">
        <v>368</v>
      </c>
      <c r="C51" s="152">
        <v>1</v>
      </c>
      <c r="D51" s="222" t="s">
        <v>139</v>
      </c>
      <c r="E51" s="199">
        <v>0.4</v>
      </c>
      <c r="F51" s="148" t="s">
        <v>140</v>
      </c>
      <c r="G51" s="199">
        <v>0.61</v>
      </c>
      <c r="H51" s="148" t="s">
        <v>141</v>
      </c>
      <c r="I51" s="199">
        <v>0.8</v>
      </c>
      <c r="J51" s="148" t="s">
        <v>135</v>
      </c>
      <c r="K51" s="77"/>
      <c r="L51" s="77"/>
      <c r="M51" s="77"/>
    </row>
    <row r="52" spans="1:13" s="126" customFormat="1" ht="31" x14ac:dyDescent="0.25">
      <c r="A52" s="148">
        <v>25</v>
      </c>
      <c r="B52" s="149" t="s">
        <v>369</v>
      </c>
      <c r="C52" s="152"/>
      <c r="D52" s="148" t="s">
        <v>142</v>
      </c>
      <c r="E52" s="199">
        <v>0.9</v>
      </c>
      <c r="F52" s="148" t="s">
        <v>143</v>
      </c>
      <c r="G52" s="199">
        <v>0.93</v>
      </c>
      <c r="H52" s="148" t="s">
        <v>144</v>
      </c>
      <c r="I52" s="199">
        <v>0.95</v>
      </c>
      <c r="J52" s="148" t="s">
        <v>145</v>
      </c>
      <c r="K52" s="77"/>
      <c r="L52" s="77"/>
      <c r="M52" s="77"/>
    </row>
    <row r="53" spans="1:13" ht="31" x14ac:dyDescent="0.35">
      <c r="A53" s="148">
        <v>26</v>
      </c>
      <c r="B53" s="178" t="s">
        <v>372</v>
      </c>
      <c r="C53" s="150" t="s">
        <v>86</v>
      </c>
      <c r="D53" s="148" t="s">
        <v>86</v>
      </c>
      <c r="E53" s="202" t="s">
        <v>97</v>
      </c>
      <c r="F53" s="148" t="s">
        <v>97</v>
      </c>
      <c r="G53" s="202" t="s">
        <v>98</v>
      </c>
      <c r="H53" s="148" t="s">
        <v>98</v>
      </c>
      <c r="I53" s="202" t="s">
        <v>99</v>
      </c>
      <c r="J53" s="148" t="s">
        <v>99</v>
      </c>
      <c r="K53" s="119"/>
      <c r="L53" s="119"/>
      <c r="M53" s="119"/>
    </row>
    <row r="54" spans="1:13" x14ac:dyDescent="0.35">
      <c r="A54" s="155"/>
      <c r="B54" s="179"/>
      <c r="C54" s="159"/>
      <c r="D54" s="167"/>
      <c r="E54" s="200"/>
      <c r="F54" s="167"/>
      <c r="G54" s="200"/>
      <c r="H54" s="167"/>
      <c r="I54" s="200"/>
      <c r="J54" s="168"/>
      <c r="K54" s="119"/>
      <c r="L54" s="119"/>
      <c r="M54" s="119"/>
    </row>
    <row r="55" spans="1:13" s="180" customFormat="1" x14ac:dyDescent="0.35">
      <c r="A55" s="143" t="s">
        <v>233</v>
      </c>
      <c r="B55" s="144"/>
      <c r="C55" s="144"/>
      <c r="D55" s="145"/>
      <c r="E55" s="201"/>
      <c r="F55" s="145"/>
      <c r="G55" s="205"/>
      <c r="H55" s="145"/>
      <c r="I55" s="205"/>
      <c r="J55" s="147"/>
      <c r="K55" s="116"/>
      <c r="L55" s="116"/>
      <c r="M55" s="116"/>
    </row>
    <row r="56" spans="1:13" ht="31" x14ac:dyDescent="0.35">
      <c r="A56" s="148">
        <v>27</v>
      </c>
      <c r="B56" s="149" t="s">
        <v>381</v>
      </c>
      <c r="C56" s="150"/>
      <c r="D56" s="148" t="s">
        <v>142</v>
      </c>
      <c r="E56" s="199">
        <v>0.9</v>
      </c>
      <c r="F56" s="148" t="s">
        <v>146</v>
      </c>
      <c r="G56" s="199">
        <v>0.96</v>
      </c>
      <c r="H56" s="148" t="s">
        <v>147</v>
      </c>
      <c r="I56" s="199">
        <v>1</v>
      </c>
      <c r="J56" s="172">
        <v>1</v>
      </c>
      <c r="K56" s="119"/>
      <c r="L56" s="119"/>
      <c r="M56" s="119"/>
    </row>
    <row r="57" spans="1:13" ht="31" x14ac:dyDescent="0.35">
      <c r="A57" s="148">
        <v>28</v>
      </c>
      <c r="B57" s="149" t="s">
        <v>382</v>
      </c>
      <c r="C57" s="150"/>
      <c r="D57" s="148" t="s">
        <v>142</v>
      </c>
      <c r="E57" s="199">
        <v>0.9</v>
      </c>
      <c r="F57" s="148" t="s">
        <v>146</v>
      </c>
      <c r="G57" s="199">
        <v>0.96</v>
      </c>
      <c r="H57" s="148" t="s">
        <v>147</v>
      </c>
      <c r="I57" s="199">
        <v>1</v>
      </c>
      <c r="J57" s="172">
        <v>1</v>
      </c>
      <c r="K57" s="119"/>
      <c r="L57" s="119"/>
      <c r="M57" s="119"/>
    </row>
    <row r="58" spans="1:13" ht="31" x14ac:dyDescent="0.35">
      <c r="A58" s="148">
        <v>29</v>
      </c>
      <c r="B58" s="149" t="s">
        <v>383</v>
      </c>
      <c r="C58" s="150"/>
      <c r="D58" s="148" t="s">
        <v>142</v>
      </c>
      <c r="E58" s="199">
        <v>0.9</v>
      </c>
      <c r="F58" s="148" t="s">
        <v>146</v>
      </c>
      <c r="G58" s="199">
        <v>0.96</v>
      </c>
      <c r="H58" s="148" t="s">
        <v>147</v>
      </c>
      <c r="I58" s="199">
        <v>1</v>
      </c>
      <c r="J58" s="172">
        <v>1</v>
      </c>
      <c r="K58" s="119"/>
      <c r="L58" s="119"/>
      <c r="M58" s="119"/>
    </row>
    <row r="59" spans="1:13" x14ac:dyDescent="0.35">
      <c r="A59" s="155"/>
      <c r="B59" s="156"/>
      <c r="C59" s="166"/>
      <c r="D59" s="167"/>
      <c r="E59" s="200"/>
      <c r="F59" s="167"/>
      <c r="G59" s="200"/>
      <c r="H59" s="167"/>
      <c r="I59" s="200"/>
      <c r="J59" s="173"/>
      <c r="K59" s="119"/>
      <c r="L59" s="119"/>
      <c r="M59" s="119"/>
    </row>
    <row r="60" spans="1:13" x14ac:dyDescent="0.35">
      <c r="A60" s="143" t="s">
        <v>148</v>
      </c>
      <c r="B60" s="144"/>
      <c r="C60" s="144"/>
      <c r="D60" s="145"/>
      <c r="E60" s="201"/>
      <c r="F60" s="145"/>
      <c r="G60" s="205"/>
      <c r="H60" s="145"/>
      <c r="I60" s="205"/>
      <c r="J60" s="147"/>
      <c r="K60" s="119"/>
      <c r="L60" s="119"/>
      <c r="M60" s="119"/>
    </row>
    <row r="61" spans="1:13" ht="31" x14ac:dyDescent="0.35">
      <c r="A61" s="148">
        <v>30</v>
      </c>
      <c r="B61" s="149" t="s">
        <v>394</v>
      </c>
      <c r="C61" s="150" t="s">
        <v>86</v>
      </c>
      <c r="D61" s="148" t="s">
        <v>86</v>
      </c>
      <c r="E61" s="202" t="s">
        <v>97</v>
      </c>
      <c r="F61" s="148" t="s">
        <v>97</v>
      </c>
      <c r="G61" s="202" t="s">
        <v>98</v>
      </c>
      <c r="H61" s="148" t="s">
        <v>98</v>
      </c>
      <c r="I61" s="202" t="s">
        <v>99</v>
      </c>
      <c r="J61" s="148" t="s">
        <v>99</v>
      </c>
      <c r="K61" s="119"/>
      <c r="L61" s="119"/>
      <c r="M61" s="119"/>
    </row>
    <row r="62" spans="1:13" ht="31" x14ac:dyDescent="0.35">
      <c r="A62" s="181">
        <v>31</v>
      </c>
      <c r="B62" s="178" t="s">
        <v>401</v>
      </c>
      <c r="C62" s="150"/>
      <c r="D62" s="148" t="s">
        <v>104</v>
      </c>
      <c r="E62" s="202">
        <v>0.6</v>
      </c>
      <c r="F62" s="148" t="s">
        <v>105</v>
      </c>
      <c r="G62" s="202">
        <v>0.76</v>
      </c>
      <c r="H62" s="148" t="s">
        <v>408</v>
      </c>
      <c r="I62" s="199">
        <v>0.91</v>
      </c>
      <c r="J62" s="148" t="s">
        <v>149</v>
      </c>
      <c r="K62" s="119"/>
      <c r="L62" s="119"/>
      <c r="M62" s="119"/>
    </row>
    <row r="63" spans="1:13" s="126" customFormat="1" ht="49.5" customHeight="1" x14ac:dyDescent="0.25">
      <c r="A63" s="148">
        <f>A62+1</f>
        <v>32</v>
      </c>
      <c r="B63" s="178" t="s">
        <v>409</v>
      </c>
      <c r="C63" s="150" t="s">
        <v>86</v>
      </c>
      <c r="D63" s="148" t="s">
        <v>86</v>
      </c>
      <c r="E63" s="202"/>
      <c r="F63" s="148"/>
      <c r="G63" s="199"/>
      <c r="H63" s="148"/>
      <c r="I63" s="202" t="s">
        <v>87</v>
      </c>
      <c r="J63" s="148" t="s">
        <v>87</v>
      </c>
      <c r="K63" s="77"/>
      <c r="L63" s="77"/>
      <c r="M63" s="77"/>
    </row>
    <row r="64" spans="1:13" s="126" customFormat="1" x14ac:dyDescent="0.25">
      <c r="A64" s="148"/>
      <c r="B64" s="178"/>
      <c r="C64" s="166"/>
      <c r="D64" s="155"/>
      <c r="E64" s="203"/>
      <c r="F64" s="167"/>
      <c r="G64" s="200"/>
      <c r="H64" s="167"/>
      <c r="I64" s="200"/>
      <c r="J64" s="168"/>
      <c r="K64" s="77"/>
      <c r="L64" s="77"/>
      <c r="M64" s="77"/>
    </row>
    <row r="65" spans="1:13" s="126" customFormat="1" x14ac:dyDescent="0.25">
      <c r="A65" s="182" t="s">
        <v>150</v>
      </c>
      <c r="B65" s="178"/>
      <c r="C65" s="139"/>
      <c r="D65" s="138"/>
      <c r="E65" s="204"/>
      <c r="F65" s="140"/>
      <c r="G65" s="206"/>
      <c r="H65" s="140"/>
      <c r="I65" s="206"/>
      <c r="J65" s="142"/>
      <c r="K65" s="77"/>
      <c r="L65" s="77"/>
      <c r="M65" s="77"/>
    </row>
    <row r="66" spans="1:13" s="126" customFormat="1" ht="31" x14ac:dyDescent="0.25">
      <c r="A66" s="148">
        <v>33</v>
      </c>
      <c r="B66" s="178" t="s">
        <v>414</v>
      </c>
      <c r="C66" s="150" t="s">
        <v>86</v>
      </c>
      <c r="D66" s="148" t="s">
        <v>86</v>
      </c>
      <c r="E66" s="202" t="s">
        <v>97</v>
      </c>
      <c r="F66" s="148" t="s">
        <v>97</v>
      </c>
      <c r="G66" s="202" t="s">
        <v>98</v>
      </c>
      <c r="H66" s="148" t="s">
        <v>98</v>
      </c>
      <c r="I66" s="202" t="s">
        <v>99</v>
      </c>
      <c r="J66" s="148" t="s">
        <v>99</v>
      </c>
      <c r="K66" s="77"/>
      <c r="L66" s="77"/>
      <c r="M66" s="77"/>
    </row>
    <row r="67" spans="1:13" s="126" customFormat="1" ht="31" x14ac:dyDescent="0.25">
      <c r="A67" s="148">
        <f>A66+1</f>
        <v>34</v>
      </c>
      <c r="B67" s="178" t="s">
        <v>418</v>
      </c>
      <c r="C67" s="150" t="s">
        <v>86</v>
      </c>
      <c r="D67" s="148" t="s">
        <v>86</v>
      </c>
      <c r="E67" s="202" t="s">
        <v>97</v>
      </c>
      <c r="F67" s="148" t="s">
        <v>97</v>
      </c>
      <c r="G67" s="202" t="s">
        <v>98</v>
      </c>
      <c r="H67" s="148" t="s">
        <v>98</v>
      </c>
      <c r="I67" s="202" t="s">
        <v>99</v>
      </c>
      <c r="J67" s="148" t="s">
        <v>99</v>
      </c>
      <c r="K67" s="77"/>
      <c r="L67" s="77"/>
      <c r="M67" s="77"/>
    </row>
    <row r="68" spans="1:13" s="126" customFormat="1" x14ac:dyDescent="0.25">
      <c r="A68" s="155"/>
      <c r="B68" s="179"/>
      <c r="C68" s="166"/>
      <c r="D68" s="167"/>
      <c r="E68" s="203"/>
      <c r="F68" s="167"/>
      <c r="G68" s="200"/>
      <c r="H68" s="167"/>
      <c r="I68" s="200"/>
      <c r="J68" s="168"/>
      <c r="K68" s="77"/>
      <c r="L68" s="77"/>
      <c r="M68" s="77"/>
    </row>
    <row r="69" spans="1:13" x14ac:dyDescent="0.35">
      <c r="A69" s="143" t="s">
        <v>151</v>
      </c>
      <c r="B69" s="144"/>
      <c r="C69" s="144"/>
      <c r="D69" s="145"/>
      <c r="E69" s="201"/>
      <c r="F69" s="145"/>
      <c r="G69" s="205"/>
      <c r="H69" s="145"/>
      <c r="I69" s="205"/>
      <c r="J69" s="147"/>
      <c r="K69" s="119"/>
      <c r="L69" s="119"/>
      <c r="M69" s="119"/>
    </row>
    <row r="70" spans="1:13" s="126" customFormat="1" ht="46.5" x14ac:dyDescent="0.25">
      <c r="A70" s="148">
        <v>35</v>
      </c>
      <c r="B70" s="149" t="s">
        <v>419</v>
      </c>
      <c r="C70" s="150" t="s">
        <v>86</v>
      </c>
      <c r="D70" s="148" t="s">
        <v>86</v>
      </c>
      <c r="E70" s="202" t="s">
        <v>97</v>
      </c>
      <c r="F70" s="148" t="s">
        <v>97</v>
      </c>
      <c r="G70" s="202" t="s">
        <v>98</v>
      </c>
      <c r="H70" s="148" t="s">
        <v>98</v>
      </c>
      <c r="I70" s="202" t="s">
        <v>99</v>
      </c>
      <c r="J70" s="148" t="s">
        <v>99</v>
      </c>
      <c r="K70" s="77"/>
      <c r="L70" s="77"/>
      <c r="M70" s="77"/>
    </row>
    <row r="71" spans="1:13" s="126" customFormat="1" ht="46.5" hidden="1" x14ac:dyDescent="0.25">
      <c r="A71" s="148">
        <f>A70+1</f>
        <v>36</v>
      </c>
      <c r="B71" s="149" t="s">
        <v>152</v>
      </c>
      <c r="C71" s="150" t="s">
        <v>86</v>
      </c>
      <c r="D71" s="148" t="s">
        <v>86</v>
      </c>
      <c r="E71" s="202" t="s">
        <v>97</v>
      </c>
      <c r="F71" s="148" t="s">
        <v>97</v>
      </c>
      <c r="G71" s="202" t="s">
        <v>98</v>
      </c>
      <c r="H71" s="148" t="s">
        <v>98</v>
      </c>
      <c r="I71" s="202" t="s">
        <v>99</v>
      </c>
      <c r="J71" s="148" t="s">
        <v>99</v>
      </c>
      <c r="K71" s="77"/>
      <c r="L71" s="77"/>
      <c r="M71" s="77"/>
    </row>
    <row r="72" spans="1:13" s="126" customFormat="1" x14ac:dyDescent="0.25">
      <c r="A72" s="181">
        <v>36</v>
      </c>
      <c r="B72" s="149" t="s">
        <v>422</v>
      </c>
      <c r="C72" s="150" t="s">
        <v>116</v>
      </c>
      <c r="D72" s="148" t="s">
        <v>116</v>
      </c>
      <c r="E72" s="202" t="s">
        <v>120</v>
      </c>
      <c r="F72" s="148" t="s">
        <v>120</v>
      </c>
      <c r="G72" s="202" t="s">
        <v>121</v>
      </c>
      <c r="H72" s="148" t="s">
        <v>121</v>
      </c>
      <c r="I72" s="202" t="s">
        <v>122</v>
      </c>
      <c r="J72" s="148" t="s">
        <v>122</v>
      </c>
      <c r="K72" s="77"/>
      <c r="L72" s="77"/>
      <c r="M72" s="77"/>
    </row>
    <row r="73" spans="1:13" s="126" customFormat="1" x14ac:dyDescent="0.25">
      <c r="A73" s="155"/>
      <c r="B73" s="156"/>
      <c r="C73" s="166"/>
      <c r="D73" s="167"/>
      <c r="E73" s="203"/>
      <c r="F73" s="167"/>
      <c r="G73" s="200"/>
      <c r="H73" s="167"/>
      <c r="I73" s="200"/>
      <c r="J73" s="168"/>
      <c r="K73" s="77"/>
      <c r="L73" s="77"/>
      <c r="M73" s="77"/>
    </row>
    <row r="74" spans="1:13" s="126" customFormat="1" x14ac:dyDescent="0.25">
      <c r="A74" s="155"/>
      <c r="B74" s="156"/>
      <c r="C74" s="166"/>
      <c r="D74" s="167"/>
      <c r="E74" s="203"/>
      <c r="F74" s="167"/>
      <c r="G74" s="200"/>
      <c r="H74" s="167"/>
      <c r="I74" s="200"/>
      <c r="J74" s="168"/>
      <c r="K74" s="77"/>
      <c r="L74" s="77"/>
      <c r="M74" s="77"/>
    </row>
    <row r="75" spans="1:13" s="126" customFormat="1" x14ac:dyDescent="0.25">
      <c r="A75" s="138" t="s">
        <v>242</v>
      </c>
      <c r="B75" s="139"/>
      <c r="C75" s="139"/>
      <c r="D75" s="140"/>
      <c r="E75" s="204"/>
      <c r="F75" s="140"/>
      <c r="G75" s="206"/>
      <c r="H75" s="140"/>
      <c r="I75" s="206"/>
      <c r="J75" s="142"/>
      <c r="K75" s="77"/>
      <c r="L75" s="77"/>
      <c r="M75" s="77"/>
    </row>
    <row r="76" spans="1:13" x14ac:dyDescent="0.35">
      <c r="A76" s="143" t="s">
        <v>153</v>
      </c>
      <c r="B76" s="144"/>
      <c r="C76" s="144"/>
      <c r="D76" s="145"/>
      <c r="E76" s="201"/>
      <c r="F76" s="145"/>
      <c r="G76" s="205"/>
      <c r="H76" s="145"/>
      <c r="I76" s="205"/>
      <c r="J76" s="147"/>
      <c r="K76" s="119"/>
      <c r="L76" s="119"/>
      <c r="M76" s="119"/>
    </row>
    <row r="77" spans="1:13" ht="31" x14ac:dyDescent="0.35">
      <c r="A77" s="148">
        <v>37</v>
      </c>
      <c r="B77" s="164" t="s">
        <v>423</v>
      </c>
      <c r="C77" s="150" t="s">
        <v>86</v>
      </c>
      <c r="D77" s="148" t="s">
        <v>86</v>
      </c>
      <c r="E77" s="202" t="s">
        <v>97</v>
      </c>
      <c r="F77" s="148" t="s">
        <v>97</v>
      </c>
      <c r="G77" s="202" t="s">
        <v>98</v>
      </c>
      <c r="H77" s="148" t="s">
        <v>98</v>
      </c>
      <c r="I77" s="202" t="s">
        <v>99</v>
      </c>
      <c r="J77" s="148" t="s">
        <v>99</v>
      </c>
      <c r="K77" s="119"/>
      <c r="L77" s="119"/>
      <c r="M77" s="119"/>
    </row>
    <row r="78" spans="1:13" ht="19.5" hidden="1" customHeight="1" x14ac:dyDescent="0.35">
      <c r="A78" s="148">
        <f>A77+1</f>
        <v>38</v>
      </c>
      <c r="B78" s="178" t="s">
        <v>154</v>
      </c>
      <c r="C78" s="150"/>
      <c r="D78" s="150" t="s">
        <v>155</v>
      </c>
      <c r="E78" s="199">
        <v>0.7</v>
      </c>
      <c r="F78" s="150" t="s">
        <v>156</v>
      </c>
      <c r="G78" s="199">
        <v>0.8</v>
      </c>
      <c r="H78" s="150" t="s">
        <v>157</v>
      </c>
      <c r="I78" s="199">
        <v>0.9</v>
      </c>
      <c r="J78" s="150" t="s">
        <v>158</v>
      </c>
      <c r="K78" s="119"/>
      <c r="L78" s="119"/>
      <c r="M78" s="119"/>
    </row>
    <row r="79" spans="1:13" x14ac:dyDescent="0.35">
      <c r="A79" s="155"/>
      <c r="B79" s="179"/>
      <c r="C79" s="166"/>
      <c r="D79" s="166"/>
      <c r="E79" s="200"/>
      <c r="F79" s="166"/>
      <c r="G79" s="200"/>
      <c r="H79" s="166"/>
      <c r="I79" s="200"/>
      <c r="J79" s="183"/>
      <c r="K79" s="119"/>
      <c r="L79" s="119"/>
      <c r="M79" s="119"/>
    </row>
    <row r="80" spans="1:13" x14ac:dyDescent="0.35">
      <c r="A80" s="143" t="s">
        <v>159</v>
      </c>
      <c r="B80" s="144"/>
      <c r="C80" s="144"/>
      <c r="D80" s="145"/>
      <c r="E80" s="201"/>
      <c r="F80" s="145"/>
      <c r="G80" s="205"/>
      <c r="H80" s="145"/>
      <c r="I80" s="205"/>
      <c r="J80" s="147"/>
      <c r="K80" s="119"/>
      <c r="L80" s="119"/>
      <c r="M80" s="119"/>
    </row>
    <row r="81" spans="1:13" ht="31" x14ac:dyDescent="0.35">
      <c r="A81" s="148">
        <v>38</v>
      </c>
      <c r="B81" s="178" t="s">
        <v>432</v>
      </c>
      <c r="C81" s="150" t="s">
        <v>86</v>
      </c>
      <c r="D81" s="148" t="s">
        <v>86</v>
      </c>
      <c r="E81" s="202" t="s">
        <v>97</v>
      </c>
      <c r="F81" s="148" t="s">
        <v>97</v>
      </c>
      <c r="G81" s="202" t="s">
        <v>98</v>
      </c>
      <c r="H81" s="148" t="s">
        <v>98</v>
      </c>
      <c r="I81" s="202" t="s">
        <v>99</v>
      </c>
      <c r="J81" s="148" t="s">
        <v>99</v>
      </c>
      <c r="K81" s="119"/>
      <c r="L81" s="119"/>
      <c r="M81" s="119"/>
    </row>
    <row r="82" spans="1:13" s="126" customFormat="1" ht="31" x14ac:dyDescent="0.25">
      <c r="A82" s="148">
        <f>A81+1</f>
        <v>39</v>
      </c>
      <c r="B82" s="178" t="s">
        <v>438</v>
      </c>
      <c r="C82" s="150" t="s">
        <v>125</v>
      </c>
      <c r="D82" s="148" t="s">
        <v>125</v>
      </c>
      <c r="E82" s="202" t="s">
        <v>126</v>
      </c>
      <c r="F82" s="148" t="s">
        <v>126</v>
      </c>
      <c r="G82" s="202" t="s">
        <v>127</v>
      </c>
      <c r="H82" s="148" t="s">
        <v>127</v>
      </c>
      <c r="I82" s="202" t="s">
        <v>128</v>
      </c>
      <c r="J82" s="148" t="s">
        <v>128</v>
      </c>
      <c r="K82" s="77"/>
      <c r="L82" s="77"/>
      <c r="M82" s="77"/>
    </row>
    <row r="83" spans="1:13" s="126" customFormat="1" x14ac:dyDescent="0.25">
      <c r="A83" s="155"/>
      <c r="B83" s="179"/>
      <c r="C83" s="166"/>
      <c r="D83" s="167"/>
      <c r="E83" s="200"/>
      <c r="F83" s="167"/>
      <c r="G83" s="200"/>
      <c r="H83" s="167"/>
      <c r="I83" s="200"/>
      <c r="J83" s="168"/>
      <c r="K83" s="77"/>
      <c r="L83" s="77"/>
      <c r="M83" s="77"/>
    </row>
    <row r="84" spans="1:13" x14ac:dyDescent="0.35">
      <c r="A84" s="143" t="s">
        <v>160</v>
      </c>
      <c r="B84" s="144"/>
      <c r="C84" s="144"/>
      <c r="D84" s="145"/>
      <c r="E84" s="201"/>
      <c r="F84" s="145"/>
      <c r="G84" s="205"/>
      <c r="H84" s="145"/>
      <c r="I84" s="205"/>
      <c r="J84" s="147"/>
      <c r="K84" s="119"/>
      <c r="L84" s="119"/>
      <c r="M84" s="119"/>
    </row>
    <row r="85" spans="1:13" s="126" customFormat="1" ht="31" x14ac:dyDescent="0.25">
      <c r="A85" s="148">
        <v>40</v>
      </c>
      <c r="B85" s="178" t="s">
        <v>439</v>
      </c>
      <c r="C85" s="150" t="s">
        <v>86</v>
      </c>
      <c r="D85" s="148" t="s">
        <v>86</v>
      </c>
      <c r="E85" s="202" t="s">
        <v>97</v>
      </c>
      <c r="F85" s="148" t="s">
        <v>97</v>
      </c>
      <c r="G85" s="202" t="s">
        <v>98</v>
      </c>
      <c r="H85" s="148" t="s">
        <v>98</v>
      </c>
      <c r="I85" s="202" t="s">
        <v>99</v>
      </c>
      <c r="J85" s="148" t="s">
        <v>99</v>
      </c>
      <c r="K85" s="77"/>
      <c r="L85" s="77"/>
      <c r="M85" s="77"/>
    </row>
    <row r="86" spans="1:13" s="126" customFormat="1" x14ac:dyDescent="0.25">
      <c r="A86" s="155"/>
      <c r="B86" s="179"/>
      <c r="C86" s="166"/>
      <c r="D86" s="167"/>
      <c r="E86" s="203"/>
      <c r="F86" s="167"/>
      <c r="G86" s="203"/>
      <c r="H86" s="167"/>
      <c r="I86" s="203"/>
      <c r="J86" s="168"/>
      <c r="K86" s="77"/>
      <c r="L86" s="77"/>
      <c r="M86" s="77"/>
    </row>
    <row r="87" spans="1:13" x14ac:dyDescent="0.35">
      <c r="A87" s="143" t="s">
        <v>161</v>
      </c>
      <c r="B87" s="144"/>
      <c r="C87" s="144"/>
      <c r="D87" s="145"/>
      <c r="E87" s="201"/>
      <c r="F87" s="145"/>
      <c r="G87" s="205"/>
      <c r="H87" s="145"/>
      <c r="I87" s="205"/>
      <c r="J87" s="147"/>
      <c r="K87" s="119"/>
      <c r="L87" s="119"/>
      <c r="M87" s="119"/>
    </row>
    <row r="88" spans="1:13" s="126" customFormat="1" x14ac:dyDescent="0.25">
      <c r="A88" s="148">
        <v>41</v>
      </c>
      <c r="B88" s="178" t="s">
        <v>443</v>
      </c>
      <c r="C88" s="150" t="s">
        <v>86</v>
      </c>
      <c r="D88" s="148" t="s">
        <v>86</v>
      </c>
      <c r="E88" s="202" t="s">
        <v>97</v>
      </c>
      <c r="F88" s="148" t="s">
        <v>97</v>
      </c>
      <c r="G88" s="202" t="s">
        <v>98</v>
      </c>
      <c r="H88" s="148" t="s">
        <v>98</v>
      </c>
      <c r="I88" s="202" t="s">
        <v>99</v>
      </c>
      <c r="J88" s="148" t="s">
        <v>99</v>
      </c>
      <c r="K88" s="77"/>
      <c r="L88" s="77"/>
      <c r="M88" s="77"/>
    </row>
    <row r="89" spans="1:13" ht="10.5" customHeight="1" x14ac:dyDescent="0.35">
      <c r="A89" s="119"/>
      <c r="B89" s="184"/>
      <c r="C89" s="184"/>
      <c r="D89" s="119"/>
      <c r="E89" s="185"/>
      <c r="F89" s="119"/>
      <c r="G89" s="184"/>
      <c r="H89" s="119"/>
      <c r="I89" s="186"/>
      <c r="J89" s="119"/>
      <c r="K89" s="187"/>
      <c r="L89" s="119"/>
      <c r="M89" s="119"/>
    </row>
    <row r="90" spans="1:13" ht="10.5" customHeight="1" x14ac:dyDescent="0.35"/>
    <row r="91" spans="1:13" ht="10.5" customHeight="1" x14ac:dyDescent="0.35">
      <c r="A91" s="126"/>
      <c r="B91" s="174"/>
      <c r="C91" s="192"/>
      <c r="D91" s="192"/>
      <c r="E91" s="193"/>
      <c r="F91" s="192"/>
      <c r="G91" s="192"/>
      <c r="H91" s="192"/>
      <c r="I91" s="194"/>
      <c r="J91" s="192"/>
      <c r="K91" s="194"/>
    </row>
    <row r="92" spans="1:13" ht="10.5" customHeight="1" x14ac:dyDescent="0.35">
      <c r="A92" s="126"/>
      <c r="B92" s="174"/>
      <c r="C92" s="192"/>
      <c r="D92" s="192"/>
      <c r="E92" s="193"/>
      <c r="H92" s="192"/>
      <c r="I92" s="194"/>
      <c r="J92" s="192"/>
      <c r="K92" s="194"/>
    </row>
    <row r="93" spans="1:13" s="196" customFormat="1" ht="10.5" customHeight="1" x14ac:dyDescent="0.35">
      <c r="A93" s="174"/>
      <c r="B93" s="174"/>
      <c r="C93" s="195"/>
      <c r="E93" s="189"/>
      <c r="G93" s="195"/>
      <c r="I93" s="197"/>
      <c r="K93" s="198"/>
    </row>
    <row r="94" spans="1:13" ht="10.5" customHeight="1" x14ac:dyDescent="0.35"/>
    <row r="95" spans="1:13" ht="10.5" customHeight="1" x14ac:dyDescent="0.35"/>
    <row r="96" spans="1:13" ht="10.5" customHeight="1" x14ac:dyDescent="0.35"/>
    <row r="97" spans="1:1" ht="10.5" customHeight="1" x14ac:dyDescent="0.35"/>
    <row r="98" spans="1:1" ht="10.5" customHeight="1" x14ac:dyDescent="0.35"/>
    <row r="99" spans="1:1" ht="10.5" customHeight="1" x14ac:dyDescent="0.35"/>
    <row r="100" spans="1:1" ht="10.5" customHeight="1" x14ac:dyDescent="0.35"/>
    <row r="101" spans="1:1" ht="10.5" customHeight="1" x14ac:dyDescent="0.35"/>
    <row r="102" spans="1:1" ht="10.5" customHeight="1" x14ac:dyDescent="0.35"/>
    <row r="103" spans="1:1" ht="10.5" customHeight="1" x14ac:dyDescent="0.35">
      <c r="A103" s="188"/>
    </row>
    <row r="104" spans="1:1" ht="10.5" customHeight="1" x14ac:dyDescent="0.35">
      <c r="A104" s="188"/>
    </row>
    <row r="105" spans="1:1" ht="10.5" customHeight="1" x14ac:dyDescent="0.35">
      <c r="A105" s="188"/>
    </row>
    <row r="106" spans="1:1" ht="10.5" customHeight="1" x14ac:dyDescent="0.35">
      <c r="A106" s="188"/>
    </row>
    <row r="107" spans="1:1" ht="10.5" customHeight="1" x14ac:dyDescent="0.35">
      <c r="A107" s="188"/>
    </row>
    <row r="108" spans="1:1" x14ac:dyDescent="0.35">
      <c r="A108" s="188"/>
    </row>
    <row r="109" spans="1:1" x14ac:dyDescent="0.35">
      <c r="A109" s="188"/>
    </row>
  </sheetData>
  <sheetProtection sheet="1" formatCells="0"/>
  <printOptions horizontalCentered="1"/>
  <pageMargins left="0.25" right="0.25" top="0.3" bottom="0.3" header="0.3" footer="0.3"/>
  <pageSetup paperSize="14" scale="72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24"/>
  <sheetViews>
    <sheetView tabSelected="1" topLeftCell="A71" zoomScale="70" zoomScaleNormal="70" workbookViewId="0">
      <selection activeCell="F77" sqref="F77"/>
    </sheetView>
  </sheetViews>
  <sheetFormatPr defaultColWidth="9.1796875" defaultRowHeight="13" x14ac:dyDescent="0.25"/>
  <cols>
    <col min="1" max="1" width="2.81640625" style="67" customWidth="1"/>
    <col min="2" max="2" width="4.1796875" style="217" customWidth="1"/>
    <col min="3" max="3" width="45.81640625" style="68" customWidth="1"/>
    <col min="4" max="4" width="12" style="69" customWidth="1"/>
    <col min="5" max="5" width="12.7265625" style="70" customWidth="1"/>
    <col min="6" max="6" width="25.81640625" style="68" customWidth="1"/>
    <col min="7" max="7" width="0" style="68" hidden="1" customWidth="1"/>
    <col min="8" max="8" width="32.26953125" style="68" customWidth="1"/>
    <col min="9" max="9" width="8.1796875" style="67" customWidth="1"/>
    <col min="10" max="16384" width="9.1796875" style="67"/>
  </cols>
  <sheetData>
    <row r="1" spans="1:9" x14ac:dyDescent="0.25">
      <c r="B1" s="212"/>
      <c r="C1" s="71"/>
      <c r="D1" s="71"/>
      <c r="E1" s="71"/>
      <c r="F1" s="72"/>
      <c r="G1" s="71"/>
      <c r="H1" s="71"/>
    </row>
    <row r="2" spans="1:9" ht="12.75" customHeight="1" x14ac:dyDescent="0.25">
      <c r="B2" s="213"/>
      <c r="C2" s="74"/>
      <c r="D2" s="74"/>
      <c r="E2" s="75" t="s">
        <v>212</v>
      </c>
      <c r="F2" s="76"/>
      <c r="G2" s="74"/>
      <c r="H2" s="74"/>
    </row>
    <row r="3" spans="1:9" s="126" customFormat="1" ht="15.75" customHeight="1" x14ac:dyDescent="0.25">
      <c r="B3" s="176"/>
      <c r="C3" s="78"/>
      <c r="D3" s="78"/>
      <c r="E3" s="79" t="s">
        <v>1</v>
      </c>
      <c r="F3" s="80"/>
      <c r="G3" s="78"/>
      <c r="H3" s="78"/>
    </row>
    <row r="4" spans="1:9" s="126" customFormat="1" ht="15.75" customHeight="1" x14ac:dyDescent="0.25">
      <c r="B4" s="176"/>
      <c r="C4" s="78"/>
      <c r="D4" s="78"/>
      <c r="E4" s="79" t="s">
        <v>213</v>
      </c>
      <c r="F4" s="80"/>
      <c r="G4" s="78"/>
      <c r="H4" s="78"/>
    </row>
    <row r="5" spans="1:9" x14ac:dyDescent="0.25">
      <c r="B5" s="214"/>
      <c r="C5" s="81"/>
      <c r="D5" s="81"/>
      <c r="E5" s="81"/>
      <c r="F5" s="81"/>
      <c r="G5" s="81"/>
      <c r="H5" s="81"/>
    </row>
    <row r="6" spans="1:9" x14ac:dyDescent="0.25">
      <c r="B6" s="212"/>
      <c r="C6" s="235"/>
      <c r="D6" s="236"/>
      <c r="E6" s="237"/>
      <c r="F6" s="238"/>
      <c r="G6" s="235"/>
      <c r="H6" s="235"/>
    </row>
    <row r="7" spans="1:9" ht="12.75" customHeight="1" x14ac:dyDescent="0.25">
      <c r="B7" s="83" t="s">
        <v>667</v>
      </c>
      <c r="C7" s="71"/>
      <c r="D7" s="236"/>
      <c r="E7" s="239"/>
      <c r="F7" s="72"/>
      <c r="G7" s="72"/>
      <c r="H7" s="5" t="s">
        <v>669</v>
      </c>
      <c r="I7" s="83"/>
    </row>
    <row r="8" spans="1:9" ht="12.75" customHeight="1" x14ac:dyDescent="0.25">
      <c r="B8" s="83" t="s">
        <v>668</v>
      </c>
      <c r="C8" s="71"/>
      <c r="D8" s="240"/>
      <c r="E8" s="241"/>
      <c r="F8" s="72"/>
      <c r="G8" s="72"/>
      <c r="H8" s="82" t="s">
        <v>670</v>
      </c>
    </row>
    <row r="9" spans="1:9" x14ac:dyDescent="0.25">
      <c r="B9" s="213"/>
      <c r="C9" s="72"/>
      <c r="D9" s="240"/>
      <c r="E9" s="241"/>
      <c r="F9" s="72"/>
      <c r="G9" s="72"/>
      <c r="H9" s="72"/>
    </row>
    <row r="10" spans="1:9" x14ac:dyDescent="0.25">
      <c r="B10" s="213"/>
      <c r="C10" s="72"/>
      <c r="D10" s="240"/>
      <c r="E10" s="241"/>
      <c r="F10" s="72"/>
      <c r="G10" s="72"/>
      <c r="H10" s="72"/>
    </row>
    <row r="11" spans="1:9" ht="12.75" customHeight="1" x14ac:dyDescent="0.25">
      <c r="B11" s="215" t="s">
        <v>79</v>
      </c>
      <c r="C11" s="347" t="s">
        <v>80</v>
      </c>
      <c r="D11" s="348" t="s">
        <v>56</v>
      </c>
      <c r="E11" s="349" t="s">
        <v>214</v>
      </c>
      <c r="F11" s="347" t="s">
        <v>215</v>
      </c>
      <c r="G11" s="84" t="s">
        <v>216</v>
      </c>
      <c r="H11" s="347" t="s">
        <v>217</v>
      </c>
    </row>
    <row r="12" spans="1:9" x14ac:dyDescent="0.25">
      <c r="B12" s="216"/>
      <c r="C12" s="347"/>
      <c r="D12" s="348"/>
      <c r="E12" s="349"/>
      <c r="F12" s="347"/>
      <c r="G12" s="84"/>
      <c r="H12" s="347"/>
    </row>
    <row r="13" spans="1:9" ht="12.75" customHeight="1" x14ac:dyDescent="0.25">
      <c r="B13" s="209" t="s">
        <v>269</v>
      </c>
      <c r="C13" s="85"/>
      <c r="D13" s="85"/>
      <c r="E13" s="85"/>
      <c r="F13" s="86"/>
      <c r="G13" s="85"/>
      <c r="H13" s="87"/>
    </row>
    <row r="14" spans="1:9" ht="12.75" customHeight="1" x14ac:dyDescent="0.25">
      <c r="B14" s="210" t="s">
        <v>270</v>
      </c>
      <c r="C14" s="89"/>
      <c r="D14" s="89"/>
      <c r="E14" s="89"/>
      <c r="F14" s="86"/>
      <c r="G14" s="89"/>
      <c r="H14" s="90"/>
    </row>
    <row r="15" spans="1:9" ht="39" x14ac:dyDescent="0.25">
      <c r="A15" s="67">
        <v>1</v>
      </c>
      <c r="B15" s="102" t="s">
        <v>271</v>
      </c>
      <c r="C15" s="91" t="s">
        <v>292</v>
      </c>
      <c r="D15" s="92">
        <f>computation!E2</f>
        <v>0.64760733747096921</v>
      </c>
      <c r="E15" s="286">
        <f>IF(D15="n/a","n/a",IF(D15&lt;criteria!E9,criteria!$D$6,IF(D15&lt;criteria!G9,criteria!$F$6,IF(D15&lt;criteria!I9,criteria!$H$6,criteria!$J$6))))</f>
        <v>0</v>
      </c>
      <c r="F15" s="93"/>
      <c r="G15" s="91"/>
      <c r="H15" s="91" t="s">
        <v>218</v>
      </c>
    </row>
    <row r="16" spans="1:9" ht="26" x14ac:dyDescent="0.25">
      <c r="A16" s="67">
        <v>2</v>
      </c>
      <c r="B16" s="102" t="s">
        <v>276</v>
      </c>
      <c r="C16" s="91" t="s">
        <v>293</v>
      </c>
      <c r="D16" s="92">
        <f>computation!E3</f>
        <v>7.1025020177562556E-2</v>
      </c>
      <c r="E16" s="286">
        <f>IF(D16="n/a","n/a",IF(D16&lt;criteria!E10,criteria!$D$6,IF(D16&lt;criteria!G10,criteria!$F$6,IF(D16&gt;criteria!I10,criteria!$J$6,criteria!$H$6))))</f>
        <v>0</v>
      </c>
      <c r="F16" s="93"/>
      <c r="G16" s="91"/>
      <c r="H16" s="91" t="s">
        <v>218</v>
      </c>
    </row>
    <row r="17" spans="1:8" x14ac:dyDescent="0.25">
      <c r="B17" s="104"/>
      <c r="C17" s="94"/>
      <c r="D17" s="95"/>
      <c r="E17" s="287"/>
      <c r="F17" s="93"/>
      <c r="G17" s="91"/>
      <c r="H17" s="91"/>
    </row>
    <row r="18" spans="1:8" ht="12.75" customHeight="1" x14ac:dyDescent="0.25">
      <c r="B18" s="210" t="s">
        <v>219</v>
      </c>
      <c r="C18" s="89"/>
      <c r="D18" s="89"/>
      <c r="E18" s="89"/>
      <c r="F18" s="86"/>
      <c r="G18" s="89"/>
      <c r="H18" s="90"/>
    </row>
    <row r="19" spans="1:8" ht="26" x14ac:dyDescent="0.25">
      <c r="A19" s="67">
        <v>3</v>
      </c>
      <c r="B19" s="102" t="s">
        <v>277</v>
      </c>
      <c r="C19" s="91" t="s">
        <v>294</v>
      </c>
      <c r="D19" s="92">
        <f>computation!E4</f>
        <v>0.1014850851333379</v>
      </c>
      <c r="E19" s="286">
        <f>IF(D19="n/a","n/a",IF(D19&lt;criteria!I13,criteria!$J$6,IF(D19&lt;criteria!G13,criteria!$H$6,IF(D19&gt;criteria!E13,criteria!$D$6,criteria!$F$6))))</f>
        <v>0</v>
      </c>
      <c r="F19" s="93"/>
      <c r="G19" s="91"/>
      <c r="H19" s="91" t="s">
        <v>218</v>
      </c>
    </row>
    <row r="20" spans="1:8" ht="26" x14ac:dyDescent="0.25">
      <c r="A20" s="67">
        <v>4</v>
      </c>
      <c r="B20" s="102" t="s">
        <v>278</v>
      </c>
      <c r="C20" s="91" t="s">
        <v>295</v>
      </c>
      <c r="D20" s="92">
        <f>computation!E5</f>
        <v>0.18136744465343071</v>
      </c>
      <c r="E20" s="286">
        <f>IF(D20="n/a","n/a",IF(D20&lt;criteria!I14,criteria!$J$6,IF(D20&lt;criteria!G14,criteria!$H$6,IF(D20&gt;criteria!E14,criteria!$D$6,criteria!$F$6))))</f>
        <v>0</v>
      </c>
      <c r="F20" s="93"/>
      <c r="G20" s="91"/>
      <c r="H20" s="91" t="s">
        <v>218</v>
      </c>
    </row>
    <row r="21" spans="1:8" ht="26" x14ac:dyDescent="0.25">
      <c r="A21" s="67">
        <v>5</v>
      </c>
      <c r="B21" s="102" t="s">
        <v>279</v>
      </c>
      <c r="C21" s="91" t="s">
        <v>291</v>
      </c>
      <c r="D21" s="92">
        <f>computation!E6</f>
        <v>1.9788383480149351E-2</v>
      </c>
      <c r="E21" s="286">
        <f>IF(D21="n/a","n/a",IF(D21&lt;criteria!I15,criteria!$J$6,IF(D21&lt;criteria!G15,criteria!$H$6,IF(D21&gt;criteria!E15,criteria!$D$6,criteria!$F$6))))</f>
        <v>2</v>
      </c>
      <c r="F21" s="93"/>
      <c r="G21" s="91"/>
      <c r="H21" s="91" t="s">
        <v>218</v>
      </c>
    </row>
    <row r="22" spans="1:8" ht="26" x14ac:dyDescent="0.25">
      <c r="A22" s="67">
        <v>6</v>
      </c>
      <c r="B22" s="102" t="s">
        <v>280</v>
      </c>
      <c r="C22" s="91" t="s">
        <v>296</v>
      </c>
      <c r="D22" s="92">
        <f>computation!E7</f>
        <v>4.724096398614515E-4</v>
      </c>
      <c r="E22" s="286">
        <f>IF(D22="n/a","n/a",IF(D22&lt;criteria!I16,criteria!$J$6,IF(D22&lt;criteria!G16,criteria!$H$6,IF(D22&gt;criteria!E16,criteria!$D$6,criteria!$F$6))))</f>
        <v>3</v>
      </c>
      <c r="F22" s="93"/>
      <c r="G22" s="91"/>
      <c r="H22" s="91" t="s">
        <v>218</v>
      </c>
    </row>
    <row r="23" spans="1:8" ht="26" x14ac:dyDescent="0.25">
      <c r="A23" s="67">
        <v>7</v>
      </c>
      <c r="B23" s="102" t="s">
        <v>281</v>
      </c>
      <c r="C23" s="91" t="s">
        <v>305</v>
      </c>
      <c r="D23" s="92" t="str">
        <f>Questionnaire!R30</f>
        <v xml:space="preserve">Compliant </v>
      </c>
      <c r="E23" s="286">
        <f>IF(D23="n/a","n/a",IF(D23=criteria!C17,criteria!$D$6,IF(D23=criteria!E17,criteria!$F$6,IF(D23=criteria!G17,criteria!$H$6,IF(D23=criteria!I17,criteria!$J$6,0)))))</f>
        <v>3</v>
      </c>
      <c r="F23" s="93"/>
      <c r="G23" s="91"/>
      <c r="H23" s="91" t="s">
        <v>616</v>
      </c>
    </row>
    <row r="24" spans="1:8" ht="26" x14ac:dyDescent="0.25">
      <c r="A24" s="67">
        <v>8</v>
      </c>
      <c r="B24" s="102" t="s">
        <v>282</v>
      </c>
      <c r="C24" s="91" t="s">
        <v>297</v>
      </c>
      <c r="D24" s="95" t="str">
        <f>Questionnaire!R46</f>
        <v xml:space="preserve">Compliant </v>
      </c>
      <c r="E24" s="286">
        <f>IF(D24="n/a","n/a",IF(D24=criteria!C18,criteria!$D$6,IF(D24=criteria!E18,criteria!$F$6,IF(D24=criteria!G18,criteria!$H$6,IF(D24=criteria!I18,criteria!$J$6,0)))))</f>
        <v>3</v>
      </c>
      <c r="F24" s="93"/>
      <c r="G24" s="91"/>
      <c r="H24" s="91" t="s">
        <v>617</v>
      </c>
    </row>
    <row r="25" spans="1:8" x14ac:dyDescent="0.25">
      <c r="B25" s="104"/>
      <c r="C25" s="94"/>
      <c r="D25" s="95"/>
      <c r="E25" s="287"/>
      <c r="F25" s="93"/>
      <c r="G25" s="91"/>
      <c r="H25" s="91"/>
    </row>
    <row r="26" spans="1:8" ht="12.75" customHeight="1" x14ac:dyDescent="0.25">
      <c r="B26" s="210" t="s">
        <v>107</v>
      </c>
      <c r="C26" s="89"/>
      <c r="D26" s="89"/>
      <c r="E26" s="89"/>
      <c r="F26" s="86"/>
      <c r="G26" s="89"/>
      <c r="H26" s="90"/>
    </row>
    <row r="27" spans="1:8" ht="26" x14ac:dyDescent="0.25">
      <c r="A27" s="67">
        <v>9</v>
      </c>
      <c r="B27" s="102" t="s">
        <v>315</v>
      </c>
      <c r="C27" s="96" t="s">
        <v>320</v>
      </c>
      <c r="D27" s="97">
        <f>IF(ISERROR(computation!E9), "n/a",computation!E9)</f>
        <v>3.0625</v>
      </c>
      <c r="E27" s="286">
        <f>IF(D27="n/a","n/a",IF(D27&lt;criteria!E21,criteria!$D$6,IF(D27&lt;criteria!G21,criteria!$F$6,IF(D27&lt;criteria!I21,criteria!$H$6,criteria!$J$6))))</f>
        <v>1</v>
      </c>
      <c r="F27" s="98"/>
      <c r="G27" s="91"/>
      <c r="H27" s="91" t="s">
        <v>221</v>
      </c>
    </row>
    <row r="28" spans="1:8" x14ac:dyDescent="0.25">
      <c r="A28" s="67">
        <v>10</v>
      </c>
      <c r="B28" s="102" t="s">
        <v>316</v>
      </c>
      <c r="C28" s="96" t="s">
        <v>321</v>
      </c>
      <c r="D28" s="97">
        <f>IF(ISERROR(computation!E10), "n/a",computation!E10)</f>
        <v>3</v>
      </c>
      <c r="E28" s="286">
        <f>IF(D28="n/a","n/a",IF(D28&lt;criteria!E22,criteria!$D$6,IF(D28&lt;criteria!G22,criteria!$F$6,IF(D28&lt;criteria!I22,criteria!$H$6,criteria!$J$6))))</f>
        <v>2</v>
      </c>
      <c r="F28" s="99"/>
      <c r="G28" s="91"/>
      <c r="H28" s="91" t="s">
        <v>222</v>
      </c>
    </row>
    <row r="29" spans="1:8" x14ac:dyDescent="0.25">
      <c r="A29" s="67">
        <v>11</v>
      </c>
      <c r="B29" s="102" t="s">
        <v>317</v>
      </c>
      <c r="C29" s="91" t="s">
        <v>322</v>
      </c>
      <c r="D29" s="97">
        <f>IF(ISERROR(computation!E11), "n/a",computation!E11)</f>
        <v>2.2083333333333335</v>
      </c>
      <c r="E29" s="286">
        <f>IF(D29="n/a","n/a",IF(D29&lt;criteria!E23,criteria!$D$6,IF(D29&lt;criteria!G23,criteria!$F$6,IF(D29&lt;criteria!I23,criteria!$H$6,criteria!$J$6))))</f>
        <v>2</v>
      </c>
      <c r="F29" s="99"/>
      <c r="G29" s="91"/>
      <c r="H29" s="91" t="s">
        <v>222</v>
      </c>
    </row>
    <row r="30" spans="1:8" x14ac:dyDescent="0.25">
      <c r="A30" s="67">
        <v>12</v>
      </c>
      <c r="B30" s="102" t="s">
        <v>318</v>
      </c>
      <c r="C30" s="91" t="s">
        <v>323</v>
      </c>
      <c r="D30" s="231" t="str">
        <f>Questionnaire!R59</f>
        <v xml:space="preserve">Fully Compliant </v>
      </c>
      <c r="E30" s="286">
        <f>IF(D30="n/a","n/a",IF(D30=criteria!C24,criteria!$D$6,IF(D30=criteria!E24,criteria!$F$6,IF(D30=criteria!G24,criteria!$H$6,IF(D30=criteria!I24,criteria!$J$6,0)))))</f>
        <v>3</v>
      </c>
      <c r="F30" s="93"/>
      <c r="G30" s="91"/>
      <c r="H30" s="91" t="s">
        <v>221</v>
      </c>
    </row>
    <row r="31" spans="1:8" ht="39" x14ac:dyDescent="0.25">
      <c r="A31" s="67">
        <v>13</v>
      </c>
      <c r="B31" s="104" t="s">
        <v>319</v>
      </c>
      <c r="C31" s="91" t="s">
        <v>324</v>
      </c>
      <c r="D31" s="95" t="str">
        <f>Questionnaire!R68</f>
        <v xml:space="preserve">Fully Compliant </v>
      </c>
      <c r="E31" s="286">
        <f>IF(D31="n/a","n/a",IF(D31=criteria!C25,criteria!$D$6,IF(D31=criteria!E25,criteria!$F$6,IF(D31=criteria!G25,criteria!$H$6,IF(D31=criteria!I25,criteria!$J$6,0)))))</f>
        <v>3</v>
      </c>
      <c r="F31" s="93"/>
      <c r="G31" s="91"/>
      <c r="H31" s="91" t="s">
        <v>618</v>
      </c>
    </row>
    <row r="32" spans="1:8" x14ac:dyDescent="0.25">
      <c r="B32" s="104"/>
      <c r="C32" s="94"/>
      <c r="D32" s="95"/>
      <c r="E32" s="287"/>
      <c r="F32" s="93"/>
      <c r="G32" s="91"/>
      <c r="H32" s="91"/>
    </row>
    <row r="33" spans="1:8" ht="12.75" customHeight="1" x14ac:dyDescent="0.25">
      <c r="B33" s="210"/>
      <c r="C33" s="89"/>
      <c r="D33" s="88" t="s">
        <v>223</v>
      </c>
      <c r="E33" s="288">
        <f>IF(AND(E17="n/a",E25="n/a",E32="n/a"),"n/a",AVERAGE(E15:E31))</f>
        <v>1.6923076923076923</v>
      </c>
      <c r="F33" s="100"/>
      <c r="G33" s="101"/>
      <c r="H33" s="94"/>
    </row>
    <row r="34" spans="1:8" ht="12.75" customHeight="1" x14ac:dyDescent="0.25">
      <c r="B34" s="209" t="s">
        <v>123</v>
      </c>
      <c r="C34" s="85"/>
      <c r="D34" s="85"/>
      <c r="E34" s="85"/>
      <c r="F34" s="86"/>
      <c r="G34" s="85"/>
      <c r="H34" s="87"/>
    </row>
    <row r="35" spans="1:8" ht="12.75" customHeight="1" x14ac:dyDescent="0.25">
      <c r="B35" s="210" t="s">
        <v>124</v>
      </c>
      <c r="C35" s="89"/>
      <c r="D35" s="89"/>
      <c r="E35" s="89"/>
      <c r="F35" s="86"/>
      <c r="G35" s="89"/>
      <c r="H35" s="90"/>
    </row>
    <row r="36" spans="1:8" ht="39" x14ac:dyDescent="0.25">
      <c r="A36" s="67">
        <v>14</v>
      </c>
      <c r="B36" s="102" t="s">
        <v>331</v>
      </c>
      <c r="C36" s="91" t="s">
        <v>333</v>
      </c>
      <c r="D36" s="95" t="str">
        <f>Questionnaire!R82</f>
        <v xml:space="preserve">Fully Compliant </v>
      </c>
      <c r="E36" s="286">
        <f>IF(D36="n/a","n/a",IF(D36=criteria!C30,criteria!$D$6,IF(D36=criteria!E30,criteria!$F$6,IF(D36=criteria!G30,criteria!$H$6,IF(D36=criteria!I30,criteria!$J$6,0)))))</f>
        <v>3</v>
      </c>
      <c r="F36" s="93"/>
      <c r="G36" s="91"/>
      <c r="H36" s="91" t="s">
        <v>224</v>
      </c>
    </row>
    <row r="37" spans="1:8" ht="39" x14ac:dyDescent="0.25">
      <c r="A37" s="67">
        <v>15</v>
      </c>
      <c r="B37" s="102" t="s">
        <v>332</v>
      </c>
      <c r="C37" s="91" t="s">
        <v>334</v>
      </c>
      <c r="D37" s="95" t="str">
        <f>Questionnaire!R102</f>
        <v xml:space="preserve">Fully Compliant </v>
      </c>
      <c r="E37" s="286">
        <f>IF(D37="n/a","n/a",IF(D37=criteria!C31,criteria!$D$6,IF(D37=criteria!E31,criteria!$F$6,IF(D37=criteria!G31,criteria!$H$6,IF(D37=criteria!I31,criteria!$J$6,0)))))</f>
        <v>3</v>
      </c>
      <c r="F37" s="93"/>
      <c r="G37" s="91"/>
      <c r="H37" s="91" t="s">
        <v>225</v>
      </c>
    </row>
    <row r="38" spans="1:8" x14ac:dyDescent="0.25">
      <c r="B38" s="104"/>
      <c r="C38" s="94"/>
      <c r="D38" s="95"/>
      <c r="E38" s="287"/>
      <c r="F38" s="93"/>
      <c r="G38" s="91"/>
      <c r="H38" s="91"/>
    </row>
    <row r="39" spans="1:8" ht="12.75" customHeight="1" x14ac:dyDescent="0.25">
      <c r="B39" s="210" t="s">
        <v>129</v>
      </c>
      <c r="C39" s="89"/>
      <c r="D39" s="89"/>
      <c r="E39" s="89"/>
      <c r="F39" s="86"/>
      <c r="G39" s="89"/>
      <c r="H39" s="90"/>
    </row>
    <row r="40" spans="1:8" ht="26" x14ac:dyDescent="0.25">
      <c r="A40" s="67">
        <v>16</v>
      </c>
      <c r="B40" s="102" t="s">
        <v>335</v>
      </c>
      <c r="C40" s="91" t="s">
        <v>336</v>
      </c>
      <c r="D40" s="95" t="str">
        <f>Questionnaire!R8</f>
        <v xml:space="preserve">Compliant </v>
      </c>
      <c r="E40" s="289">
        <f>IF(D40="n/a","n/a",IF(D40=criteria!C34,criteria!$D$6,IF(D40=criteria!E34,criteria!$F$6,IF(D40=criteria!G34,criteria!$H$6,IF(D40=criteria!I34,criteria!$J$6,0)))))</f>
        <v>3</v>
      </c>
      <c r="F40" s="98"/>
      <c r="G40" s="106"/>
      <c r="H40" s="91" t="s">
        <v>226</v>
      </c>
    </row>
    <row r="41" spans="1:8" ht="52" x14ac:dyDescent="0.25">
      <c r="A41" s="67">
        <v>17</v>
      </c>
      <c r="B41" s="102" t="s">
        <v>341</v>
      </c>
      <c r="C41" s="91" t="s">
        <v>340</v>
      </c>
      <c r="D41" s="95" t="str">
        <f>Questionnaire!R18</f>
        <v xml:space="preserve">Fully Compliant </v>
      </c>
      <c r="E41" s="289">
        <f>IF(D41="n/a","n/a",IF(D41=criteria!C35,criteria!$D$6,IF(D41=criteria!E35,criteria!$F$6,IF(D41=criteria!G35,criteria!$H$6,IF(D41=criteria!I35,criteria!$J$6,0)))))</f>
        <v>3</v>
      </c>
      <c r="F41" s="98"/>
      <c r="G41" s="242"/>
      <c r="H41" s="94" t="s">
        <v>220</v>
      </c>
    </row>
    <row r="42" spans="1:8" ht="52" x14ac:dyDescent="0.25">
      <c r="A42" s="67">
        <v>18</v>
      </c>
      <c r="B42" s="102" t="s">
        <v>342</v>
      </c>
      <c r="C42" s="91" t="s">
        <v>350</v>
      </c>
      <c r="D42" s="95" t="str">
        <f>Questionnaire!R121</f>
        <v xml:space="preserve">Not Compliant </v>
      </c>
      <c r="E42" s="289">
        <f>IF(D42="n/a","n/a",IF(D42=criteria!C36,criteria!$D$6,IF(D42=criteria!E36,criteria!$F$6,IF(D42=criteria!G36,criteria!$H$6,IF(D42=criteria!I36,criteria!$J$6,0)))))</f>
        <v>0</v>
      </c>
      <c r="F42" s="93"/>
      <c r="G42" s="242"/>
      <c r="H42" s="94" t="s">
        <v>619</v>
      </c>
    </row>
    <row r="43" spans="1:8" x14ac:dyDescent="0.25">
      <c r="B43" s="104"/>
      <c r="C43" s="101"/>
      <c r="D43" s="207"/>
      <c r="E43" s="290"/>
      <c r="F43" s="208"/>
      <c r="G43" s="242"/>
      <c r="H43" s="94"/>
    </row>
    <row r="44" spans="1:8" ht="12.75" customHeight="1" x14ac:dyDescent="0.25">
      <c r="B44" s="210" t="s">
        <v>356</v>
      </c>
      <c r="C44" s="89"/>
      <c r="D44" s="89"/>
      <c r="E44" s="89"/>
      <c r="F44" s="86"/>
      <c r="G44" s="89"/>
      <c r="H44" s="90"/>
    </row>
    <row r="45" spans="1:8" ht="26" x14ac:dyDescent="0.25">
      <c r="A45" s="67">
        <v>19</v>
      </c>
      <c r="B45" s="102" t="s">
        <v>357</v>
      </c>
      <c r="C45" s="91" t="s">
        <v>358</v>
      </c>
      <c r="D45" s="92">
        <f>IF(ISERROR(computation!E12), "n/a", computation!E12)</f>
        <v>1</v>
      </c>
      <c r="E45" s="286">
        <f>IF(D45="n/a","n/a",IF(D45&lt;criteria!E40,criteria!$D$6,IF(D45&lt;criteria!G40,criteria!$F$6,IF(D45&lt;criteria!I40,criteria!$H$6,criteria!$J$6))))</f>
        <v>3</v>
      </c>
      <c r="F45" s="93"/>
      <c r="G45" s="91"/>
      <c r="H45" s="91" t="s">
        <v>221</v>
      </c>
    </row>
    <row r="46" spans="1:8" ht="26" x14ac:dyDescent="0.25">
      <c r="A46" s="67">
        <v>20</v>
      </c>
      <c r="B46" s="102" t="s">
        <v>360</v>
      </c>
      <c r="C46" s="91" t="s">
        <v>359</v>
      </c>
      <c r="D46" s="92">
        <f>IF(ISERROR(computation!E13), "n/a",computation!E13)</f>
        <v>1</v>
      </c>
      <c r="E46" s="286">
        <f>IF(D46="n/a","n/a",IF(D46&gt;criteria!I41,criteria!$J$6,IF(D46&lt;criteria!E41,criteria!$D$6,IF(D46&lt;criteria!G41,criteria!$F$6,criteria!$H$6))))</f>
        <v>3</v>
      </c>
      <c r="F46" s="93"/>
      <c r="G46" s="91"/>
      <c r="H46" s="91" t="s">
        <v>221</v>
      </c>
    </row>
    <row r="47" spans="1:8" ht="39" x14ac:dyDescent="0.25">
      <c r="A47" s="67">
        <v>21</v>
      </c>
      <c r="B47" s="102" t="s">
        <v>361</v>
      </c>
      <c r="C47" s="91" t="s">
        <v>362</v>
      </c>
      <c r="D47" s="92" t="str">
        <f>IF(ISERROR(computation!E14),"n/a",computation!E14)</f>
        <v>n/a</v>
      </c>
      <c r="E47" s="286" t="str">
        <f>IF(D47="n/a","n/a",IF(D47&gt;criteria!I42,criteria!$J$6,IF(D47&lt;criteria!E42,criteria!$D$6,IF(D47&lt;criteria!G42,criteria!$F$6,criteria!$H$6))))</f>
        <v>n/a</v>
      </c>
      <c r="F47" s="93"/>
      <c r="G47" s="91"/>
      <c r="H47" s="91" t="s">
        <v>221</v>
      </c>
    </row>
    <row r="48" spans="1:8" x14ac:dyDescent="0.25">
      <c r="B48" s="104"/>
      <c r="C48" s="94"/>
      <c r="D48" s="95"/>
      <c r="E48" s="287"/>
      <c r="F48" s="93"/>
      <c r="G48" s="91"/>
      <c r="H48" s="91"/>
    </row>
    <row r="49" spans="1:8" ht="12.75" customHeight="1" x14ac:dyDescent="0.25">
      <c r="B49" s="210" t="s">
        <v>137</v>
      </c>
      <c r="C49" s="89"/>
      <c r="D49" s="89"/>
      <c r="E49" s="89"/>
      <c r="F49" s="86"/>
      <c r="G49" s="89"/>
      <c r="H49" s="90"/>
    </row>
    <row r="50" spans="1:8" ht="39" x14ac:dyDescent="0.25">
      <c r="A50" s="67">
        <v>22</v>
      </c>
      <c r="B50" s="102" t="s">
        <v>363</v>
      </c>
      <c r="C50" s="91" t="s">
        <v>364</v>
      </c>
      <c r="D50" s="95" t="str">
        <f>Questionnaire!R132</f>
        <v xml:space="preserve">Fully Compliant </v>
      </c>
      <c r="E50" s="286">
        <f>IF(D50="n/a","n/a",IF(D50=criteria!C45,criteria!$D$6,IF(D50=criteria!E45,criteria!$F$6,IF(D50=criteria!G45,criteria!$H$6,IF(D50=criteria!I45,criteria!$J$6,0)))))</f>
        <v>3</v>
      </c>
      <c r="F50" s="93"/>
      <c r="G50" s="106"/>
      <c r="H50" s="91" t="s">
        <v>227</v>
      </c>
    </row>
    <row r="51" spans="1:8" ht="39" x14ac:dyDescent="0.25">
      <c r="A51" s="67">
        <v>23</v>
      </c>
      <c r="B51" s="102" t="s">
        <v>365</v>
      </c>
      <c r="C51" s="91" t="s">
        <v>366</v>
      </c>
      <c r="D51" s="95" t="str">
        <f>Questionnaire!R142</f>
        <v xml:space="preserve">Fully Compliant </v>
      </c>
      <c r="E51" s="286">
        <f>IF(D51="n/a","n/a",IF(D51=criteria!C46,criteria!$D$6,IF(D51=criteria!E46,criteria!$F$6,IF(D51=criteria!G46,criteria!$H$6,IF(D51=criteria!I46,criteria!$J$6,0)))))</f>
        <v>3</v>
      </c>
      <c r="F51" s="93"/>
      <c r="G51" s="91"/>
      <c r="H51" s="91" t="s">
        <v>228</v>
      </c>
    </row>
    <row r="52" spans="1:8" x14ac:dyDescent="0.25">
      <c r="B52" s="104"/>
      <c r="C52" s="94"/>
      <c r="D52" s="95"/>
      <c r="E52" s="287"/>
      <c r="F52" s="93"/>
      <c r="G52" s="91"/>
      <c r="H52" s="91"/>
    </row>
    <row r="53" spans="1:8" ht="12.75" customHeight="1" x14ac:dyDescent="0.25">
      <c r="B53" s="210"/>
      <c r="C53" s="89"/>
      <c r="D53" s="88" t="s">
        <v>229</v>
      </c>
      <c r="E53" s="288">
        <f>IF(AND(E38="n/a",E40="n/a",E48="n/a",E52="n/a"),"n/a",AVERAGE(E36:E51))</f>
        <v>2.6666666666666665</v>
      </c>
      <c r="F53" s="100"/>
      <c r="G53" s="101"/>
      <c r="H53" s="94"/>
    </row>
    <row r="54" spans="1:8" ht="12.75" customHeight="1" x14ac:dyDescent="0.25">
      <c r="B54" s="209" t="s">
        <v>138</v>
      </c>
      <c r="C54" s="85"/>
      <c r="D54" s="85"/>
      <c r="E54" s="85"/>
      <c r="F54" s="86"/>
      <c r="G54" s="85"/>
      <c r="H54" s="87"/>
    </row>
    <row r="55" spans="1:8" ht="12.75" customHeight="1" x14ac:dyDescent="0.25">
      <c r="B55" s="210" t="s">
        <v>230</v>
      </c>
      <c r="C55" s="89"/>
      <c r="D55" s="89"/>
      <c r="E55" s="89"/>
      <c r="F55" s="86"/>
      <c r="G55" s="89"/>
      <c r="H55" s="90"/>
    </row>
    <row r="56" spans="1:8" s="68" customFormat="1" ht="39" x14ac:dyDescent="0.25">
      <c r="A56" s="68">
        <v>24</v>
      </c>
      <c r="B56" s="102" t="s">
        <v>367</v>
      </c>
      <c r="C56" s="91" t="s">
        <v>368</v>
      </c>
      <c r="D56" s="92">
        <f>IF(ISERROR(computation!E15), 0, computation!E15)</f>
        <v>0.80193771891322707</v>
      </c>
      <c r="E56" s="286">
        <f>IF(D56="n/a","n/a",IF(D56&gt;criteria!C51,criteria!$D$6,IF(D56&gt;criteria!I51,criteria!$J$6,IF(D56&lt;criteria!G51,IF(D56&lt;criteria!E51,criteria!$D$6,criteria!$F$6),criteria!$H$6))))</f>
        <v>3</v>
      </c>
      <c r="F56" s="98"/>
      <c r="G56" s="106"/>
      <c r="H56" s="91" t="s">
        <v>231</v>
      </c>
    </row>
    <row r="57" spans="1:8" ht="39" x14ac:dyDescent="0.25">
      <c r="A57" s="67">
        <v>25</v>
      </c>
      <c r="B57" s="102" t="s">
        <v>370</v>
      </c>
      <c r="C57" s="91" t="s">
        <v>369</v>
      </c>
      <c r="D57" s="92">
        <f>IF(ISERROR(computation!E16), "n/a",computation!E16)</f>
        <v>0.91666666666666663</v>
      </c>
      <c r="E57" s="286">
        <f>IF(D57="n/a","n/a",IF(D57&lt;criteria!E52,criteria!$D$6,IF(D57&lt;criteria!G52,criteria!$F$6,IF(D57&gt;criteria!I52,criteria!$J$6,criteria!$H$6))))</f>
        <v>1</v>
      </c>
      <c r="F57" s="93"/>
      <c r="G57" s="106"/>
      <c r="H57" s="91" t="s">
        <v>232</v>
      </c>
    </row>
    <row r="58" spans="1:8" ht="104" x14ac:dyDescent="0.25">
      <c r="A58" s="67">
        <v>26</v>
      </c>
      <c r="B58" s="102" t="s">
        <v>371</v>
      </c>
      <c r="C58" s="103" t="s">
        <v>372</v>
      </c>
      <c r="D58" s="95" t="str">
        <f>Questionnaire!R156</f>
        <v xml:space="preserve">Fully Compliant </v>
      </c>
      <c r="E58" s="286">
        <f>IF(D58="n/a","n/a",IF(D58=criteria!C53,criteria!$D$6,IF(D58=criteria!E53,criteria!$F$6,IF(D58=criteria!G53,criteria!$H$6,IF(D58=criteria!I53,criteria!$J$6,0)))))</f>
        <v>3</v>
      </c>
      <c r="F58" s="93"/>
      <c r="G58" s="106"/>
      <c r="H58" s="91" t="s">
        <v>626</v>
      </c>
    </row>
    <row r="59" spans="1:8" x14ac:dyDescent="0.25">
      <c r="B59" s="104"/>
      <c r="C59" s="105"/>
      <c r="D59" s="95"/>
      <c r="E59" s="287"/>
      <c r="F59" s="98"/>
      <c r="G59" s="106"/>
      <c r="H59" s="103"/>
    </row>
    <row r="60" spans="1:8" ht="12.75" customHeight="1" x14ac:dyDescent="0.25">
      <c r="B60" s="210" t="s">
        <v>233</v>
      </c>
      <c r="C60" s="89"/>
      <c r="D60" s="89"/>
      <c r="E60" s="89"/>
      <c r="F60" s="86"/>
      <c r="G60" s="89"/>
      <c r="H60" s="90"/>
    </row>
    <row r="61" spans="1:8" ht="26" x14ac:dyDescent="0.25">
      <c r="A61" s="67">
        <v>27</v>
      </c>
      <c r="B61" s="102" t="s">
        <v>378</v>
      </c>
      <c r="C61" s="91" t="s">
        <v>381</v>
      </c>
      <c r="D61" s="92">
        <f>IF(ISERROR(computation!E18), "n/a",computation!E18)</f>
        <v>1</v>
      </c>
      <c r="E61" s="286">
        <f>IF(D61="n/a","n/a",IF(D61&lt;criteria!E56,criteria!$D$6,IF(D61&lt;criteria!G56,criteria!$F$6,IF(D61&lt;criteria!I56,criteria!$H$6,criteria!$J$6))))</f>
        <v>3</v>
      </c>
      <c r="F61" s="93"/>
      <c r="G61" s="91"/>
      <c r="H61" s="103" t="s">
        <v>218</v>
      </c>
    </row>
    <row r="62" spans="1:8" ht="26" x14ac:dyDescent="0.25">
      <c r="A62" s="67">
        <v>28</v>
      </c>
      <c r="B62" s="102" t="s">
        <v>379</v>
      </c>
      <c r="C62" s="91" t="s">
        <v>382</v>
      </c>
      <c r="D62" s="92">
        <f>IF(ISERROR(computation!E19), "n/a",computation!E19)</f>
        <v>1</v>
      </c>
      <c r="E62" s="286">
        <f>IF(D62="n/a","n/a",IF(D62&lt;criteria!E57,criteria!$D$6,IF(D62&lt;criteria!G57,criteria!$F$6,IF(D62&lt;criteria!I57,criteria!$H$6,criteria!$J$6))))</f>
        <v>3</v>
      </c>
      <c r="F62" s="93"/>
      <c r="G62" s="91"/>
      <c r="H62" s="103" t="s">
        <v>218</v>
      </c>
    </row>
    <row r="63" spans="1:8" ht="26" x14ac:dyDescent="0.25">
      <c r="A63" s="67">
        <v>29</v>
      </c>
      <c r="B63" s="102" t="s">
        <v>380</v>
      </c>
      <c r="C63" s="91" t="s">
        <v>383</v>
      </c>
      <c r="D63" s="92" t="str">
        <f>IF(ISERROR(computation!E20), "n/a",computation!E20)</f>
        <v>n/a</v>
      </c>
      <c r="E63" s="286" t="str">
        <f>IF(D63="n/a","n/a",IF(D63&lt;criteria!E58,criteria!$D$6,IF(D63&lt;criteria!G58,criteria!$F$6,IF(D63&lt;criteria!I58,criteria!$H$6,criteria!$J$6))))</f>
        <v>n/a</v>
      </c>
      <c r="F63" s="93"/>
      <c r="G63" s="91"/>
      <c r="H63" s="103" t="s">
        <v>218</v>
      </c>
    </row>
    <row r="64" spans="1:8" x14ac:dyDescent="0.25">
      <c r="B64" s="104"/>
      <c r="C64" s="94"/>
      <c r="D64" s="95"/>
      <c r="E64" s="287"/>
      <c r="F64" s="93"/>
      <c r="G64" s="91"/>
      <c r="H64" s="103"/>
    </row>
    <row r="65" spans="1:8" ht="12.75" customHeight="1" x14ac:dyDescent="0.25">
      <c r="B65" s="210" t="s">
        <v>148</v>
      </c>
      <c r="C65" s="89"/>
      <c r="D65" s="89"/>
      <c r="E65" s="89"/>
      <c r="F65" s="86"/>
      <c r="G65" s="89"/>
      <c r="H65" s="90"/>
    </row>
    <row r="66" spans="1:8" ht="52" x14ac:dyDescent="0.25">
      <c r="A66" s="67">
        <v>30</v>
      </c>
      <c r="B66" s="102" t="s">
        <v>395</v>
      </c>
      <c r="C66" s="91" t="s">
        <v>394</v>
      </c>
      <c r="D66" s="95" t="str">
        <f>Questionnaire!R165</f>
        <v xml:space="preserve">Fully Compliant </v>
      </c>
      <c r="E66" s="286">
        <f>IF(D66="n/a","n/a",IF(D66=criteria!C61,criteria!$D$6,IF(D66=criteria!E61,criteria!$F$6,IF(D66=criteria!G61,criteria!$H$6,IF(D66=criteria!I61,criteria!$J$6,0)))))</f>
        <v>3</v>
      </c>
      <c r="F66" s="93"/>
      <c r="G66" s="91"/>
      <c r="H66" s="91" t="s">
        <v>625</v>
      </c>
    </row>
    <row r="67" spans="1:8" ht="39" x14ac:dyDescent="0.25">
      <c r="A67" s="67">
        <v>31</v>
      </c>
      <c r="B67" s="102" t="s">
        <v>396</v>
      </c>
      <c r="C67" s="91" t="s">
        <v>401</v>
      </c>
      <c r="D67" s="92">
        <f>Questionnaire!R175</f>
        <v>0.55000000000000004</v>
      </c>
      <c r="E67" s="286">
        <f>IF(D67="n/a","n/a",IF(D67&lt;criteria!E62,criteria!$D$6,IF(D67&lt;criteria!G62,criteria!$F$6,IF(D67&lt;criteria!I62,criteria!$H$6,criteria!$J$6))))</f>
        <v>0</v>
      </c>
      <c r="F67" s="93"/>
      <c r="G67" s="91"/>
      <c r="H67" s="91" t="s">
        <v>234</v>
      </c>
    </row>
    <row r="68" spans="1:8" ht="39" x14ac:dyDescent="0.25">
      <c r="A68" s="67">
        <v>32</v>
      </c>
      <c r="B68" s="102" t="s">
        <v>397</v>
      </c>
      <c r="C68" s="91" t="s">
        <v>409</v>
      </c>
      <c r="D68" s="95" t="str">
        <f>Questionnaire!R190</f>
        <v xml:space="preserve">Compliant </v>
      </c>
      <c r="E68" s="286">
        <f>IF(D68="n/a","n/a",IF(D68=criteria!C63,criteria!$D$6,IF(D68=criteria!E63,criteria!$F$6,IF(D68=criteria!G63,criteria!$H$6,IF(D68=criteria!I63,criteria!$J$6,0)))))</f>
        <v>3</v>
      </c>
      <c r="F68" s="93"/>
      <c r="G68" s="91"/>
      <c r="H68" s="91" t="s">
        <v>235</v>
      </c>
    </row>
    <row r="69" spans="1:8" x14ac:dyDescent="0.25">
      <c r="B69" s="104"/>
      <c r="C69" s="94"/>
      <c r="D69" s="95"/>
      <c r="E69" s="287"/>
      <c r="F69" s="93"/>
      <c r="G69" s="91"/>
      <c r="H69" s="91"/>
    </row>
    <row r="70" spans="1:8" ht="12.75" customHeight="1" x14ac:dyDescent="0.25">
      <c r="B70" s="210" t="s">
        <v>150</v>
      </c>
      <c r="C70" s="89"/>
      <c r="D70" s="89"/>
      <c r="E70" s="89"/>
      <c r="F70" s="86"/>
      <c r="G70" s="89"/>
      <c r="H70" s="90"/>
    </row>
    <row r="71" spans="1:8" ht="78" x14ac:dyDescent="0.25">
      <c r="A71" s="67">
        <v>33</v>
      </c>
      <c r="B71" s="102" t="s">
        <v>415</v>
      </c>
      <c r="C71" s="91" t="s">
        <v>414</v>
      </c>
      <c r="D71" s="95" t="str">
        <f>Questionnaire!R200</f>
        <v xml:space="preserve">Fully Compliant </v>
      </c>
      <c r="E71" s="286">
        <f>IF(D71="n/a","n/a",IF(D71=criteria!C66,criteria!$D$6,IF(D71=criteria!E66,criteria!$F$6,IF(D71=criteria!G66,criteria!$H$6,IF(D71=criteria!I66,criteria!$J$6,0)))))</f>
        <v>3</v>
      </c>
      <c r="F71" s="93"/>
      <c r="G71" s="243"/>
      <c r="H71" s="91" t="s">
        <v>236</v>
      </c>
    </row>
    <row r="72" spans="1:8" ht="52" x14ac:dyDescent="0.25">
      <c r="A72" s="67">
        <v>34</v>
      </c>
      <c r="B72" s="102" t="s">
        <v>416</v>
      </c>
      <c r="C72" s="91" t="s">
        <v>418</v>
      </c>
      <c r="D72" s="95" t="str">
        <f>Questionnaire!R212</f>
        <v xml:space="preserve">Fully Compliant </v>
      </c>
      <c r="E72" s="286">
        <f>IF(D72="n/a","n/a",IF(D72=criteria!C67,criteria!$D$6,IF(D72=criteria!E67,criteria!$F$6,IF(D72=criteria!G67,criteria!$H$6,IF(D72=criteria!I67,criteria!$J$6,0)))))</f>
        <v>3</v>
      </c>
      <c r="F72" s="93"/>
      <c r="G72" s="91"/>
      <c r="H72" s="91" t="s">
        <v>237</v>
      </c>
    </row>
    <row r="73" spans="1:8" x14ac:dyDescent="0.25">
      <c r="B73" s="104"/>
      <c r="C73" s="94"/>
      <c r="D73" s="95"/>
      <c r="E73" s="287"/>
      <c r="F73" s="93"/>
      <c r="G73" s="91"/>
      <c r="H73" s="91"/>
    </row>
    <row r="74" spans="1:8" ht="12.75" customHeight="1" x14ac:dyDescent="0.25">
      <c r="B74" s="210" t="s">
        <v>151</v>
      </c>
      <c r="C74" s="89"/>
      <c r="D74" s="89"/>
      <c r="E74" s="89"/>
      <c r="F74" s="86"/>
      <c r="G74" s="89"/>
      <c r="H74" s="90"/>
    </row>
    <row r="75" spans="1:8" ht="39" x14ac:dyDescent="0.25">
      <c r="A75" s="67">
        <v>35</v>
      </c>
      <c r="B75" s="102" t="s">
        <v>420</v>
      </c>
      <c r="C75" s="91" t="s">
        <v>419</v>
      </c>
      <c r="D75" s="95" t="str">
        <f>Questionnaire!R224</f>
        <v xml:space="preserve">Fully Compliant </v>
      </c>
      <c r="E75" s="286">
        <f>IF(D75="n/a","n/a",IF(D75=criteria!C70,criteria!$D$6,IF(D75=criteria!E70,criteria!$F$6,IF(D75=criteria!G70,criteria!$H$6,IF(D75=criteria!I70,criteria!$J$6,0)))))</f>
        <v>3</v>
      </c>
      <c r="F75" s="93"/>
      <c r="G75" s="91"/>
      <c r="H75" s="91" t="s">
        <v>238</v>
      </c>
    </row>
    <row r="76" spans="1:8" ht="39" hidden="1" x14ac:dyDescent="0.25">
      <c r="B76" s="218" t="e">
        <f>B75+1</f>
        <v>#VALUE!</v>
      </c>
      <c r="C76" s="220" t="s">
        <v>152</v>
      </c>
      <c r="D76" s="95" t="s">
        <v>88</v>
      </c>
      <c r="E76" s="286" t="str">
        <f>IF(D76="n/a","n/a",IF(D76=criteria!C71,criteria!$D$6,IF(D76=criteria!E71,criteria!$F$6,IF(D76=criteria!G71,criteria!$H$6,IF(D76=criteria!I71,criteria!$J$6,0)))))</f>
        <v>n/a</v>
      </c>
      <c r="F76" s="107"/>
      <c r="G76" s="91"/>
      <c r="H76" s="103" t="s">
        <v>239</v>
      </c>
    </row>
    <row r="77" spans="1:8" ht="52" x14ac:dyDescent="0.25">
      <c r="A77" s="67">
        <v>36</v>
      </c>
      <c r="B77" s="102" t="s">
        <v>421</v>
      </c>
      <c r="C77" s="91" t="s">
        <v>422</v>
      </c>
      <c r="D77" s="95" t="str">
        <f>Questionnaire!R251</f>
        <v>On or before 30 days</v>
      </c>
      <c r="E77" s="286">
        <f>IF(D77="n/a","n/a",IF(D77=criteria!C72,criteria!$D$6,IF(D77=criteria!E72,criteria!$F$6,IF(D77=criteria!G72,criteria!$H$6,IF(D77=criteria!I72,criteria!$J$6,0)))))</f>
        <v>3</v>
      </c>
      <c r="F77" s="93"/>
      <c r="G77" s="91"/>
      <c r="H77" s="91" t="s">
        <v>240</v>
      </c>
    </row>
    <row r="78" spans="1:8" x14ac:dyDescent="0.25">
      <c r="B78" s="104"/>
      <c r="C78" s="94"/>
      <c r="D78" s="95"/>
      <c r="E78" s="287"/>
      <c r="F78" s="93"/>
      <c r="G78" s="91"/>
      <c r="H78" s="91"/>
    </row>
    <row r="79" spans="1:8" ht="12.75" customHeight="1" x14ac:dyDescent="0.25">
      <c r="B79" s="210"/>
      <c r="C79" s="89"/>
      <c r="D79" s="88" t="s">
        <v>241</v>
      </c>
      <c r="E79" s="288">
        <f>IF(AND(E59="n/a",E64="n/a",E69="n/a",E73="n/a",E78="n/a"),"n/a",AVERAGE(E56:E77))</f>
        <v>2.5833333333333335</v>
      </c>
      <c r="F79" s="100"/>
      <c r="G79" s="101"/>
      <c r="H79" s="94"/>
    </row>
    <row r="80" spans="1:8" ht="12.75" customHeight="1" x14ac:dyDescent="0.25">
      <c r="B80" s="209" t="s">
        <v>242</v>
      </c>
      <c r="C80" s="85"/>
      <c r="D80" s="85"/>
      <c r="E80" s="85"/>
      <c r="F80" s="86"/>
      <c r="G80" s="85"/>
      <c r="H80" s="87"/>
    </row>
    <row r="81" spans="1:8" ht="12.75" customHeight="1" x14ac:dyDescent="0.25">
      <c r="B81" s="211" t="s">
        <v>153</v>
      </c>
      <c r="C81" s="108"/>
      <c r="D81" s="108"/>
      <c r="E81" s="108"/>
      <c r="F81" s="109"/>
      <c r="G81" s="108"/>
      <c r="H81" s="110"/>
    </row>
    <row r="82" spans="1:8" ht="52" x14ac:dyDescent="0.25">
      <c r="A82" s="67">
        <v>37</v>
      </c>
      <c r="B82" s="102" t="s">
        <v>424</v>
      </c>
      <c r="C82" s="91" t="s">
        <v>423</v>
      </c>
      <c r="D82" s="95" t="str">
        <f>Questionnaire!R257</f>
        <v xml:space="preserve">Fully Compliant </v>
      </c>
      <c r="E82" s="286">
        <f>IF(D82="n/a","n/a",IF(D82=criteria!C77,criteria!$D$6,IF(D82=criteria!E77,criteria!$F$6,IF(D82=criteria!G77,criteria!$H$6,IF(D82=criteria!I77,criteria!$J$6,0)))))</f>
        <v>3</v>
      </c>
      <c r="F82" s="93"/>
      <c r="G82" s="91"/>
      <c r="H82" s="91" t="s">
        <v>243</v>
      </c>
    </row>
    <row r="83" spans="1:8" hidden="1" x14ac:dyDescent="0.25">
      <c r="B83" s="218" t="s">
        <v>425</v>
      </c>
      <c r="C83" s="219" t="s">
        <v>154</v>
      </c>
      <c r="D83" s="92" t="str">
        <f>IF(ISERROR(computation!C21), "n/a",computation!C21)</f>
        <v>n/a</v>
      </c>
      <c r="E83" s="286" t="str">
        <f>IF(D83="n/a","n/a",IF(D83&lt;criteria!E78,criteria!$D$6,IF(D83&lt;criteria!G78,criteria!$F$6,IF(D83&lt;criteria!I78,criteria!$H$6,criteria!$J$6))))</f>
        <v>n/a</v>
      </c>
      <c r="F83" s="107"/>
      <c r="G83" s="91"/>
      <c r="H83" s="103" t="s">
        <v>244</v>
      </c>
    </row>
    <row r="84" spans="1:8" x14ac:dyDescent="0.25">
      <c r="B84" s="104"/>
      <c r="C84" s="105"/>
      <c r="D84" s="95"/>
      <c r="E84" s="287"/>
      <c r="F84" s="107"/>
      <c r="G84" s="91"/>
      <c r="H84" s="103"/>
    </row>
    <row r="85" spans="1:8" ht="12.75" customHeight="1" x14ac:dyDescent="0.25">
      <c r="B85" s="210" t="s">
        <v>159</v>
      </c>
      <c r="C85" s="89"/>
      <c r="D85" s="89"/>
      <c r="E85" s="89"/>
      <c r="F85" s="86"/>
      <c r="G85" s="89"/>
      <c r="H85" s="90"/>
    </row>
    <row r="86" spans="1:8" ht="52" x14ac:dyDescent="0.25">
      <c r="A86" s="67">
        <v>38</v>
      </c>
      <c r="B86" s="102" t="s">
        <v>430</v>
      </c>
      <c r="C86" s="103" t="s">
        <v>432</v>
      </c>
      <c r="D86" s="95" t="str">
        <f>Questionnaire!R269</f>
        <v xml:space="preserve">Fully Compliant </v>
      </c>
      <c r="E86" s="286">
        <f>IF(D86="n/a","n/a",IF(D86=criteria!C81,criteria!$D$6,IF(D86=criteria!E81,criteria!$F$6,IF(D86=criteria!G81,criteria!$H$6,IF(D86=criteria!I81,criteria!$J$6,0)))))</f>
        <v>3</v>
      </c>
      <c r="F86" s="93"/>
      <c r="G86" s="91"/>
      <c r="H86" s="91" t="s">
        <v>245</v>
      </c>
    </row>
    <row r="87" spans="1:8" ht="39" x14ac:dyDescent="0.25">
      <c r="A87" s="67">
        <v>39</v>
      </c>
      <c r="B87" s="102" t="s">
        <v>431</v>
      </c>
      <c r="C87" s="103" t="s">
        <v>438</v>
      </c>
      <c r="D87" s="95" t="str">
        <f>Questionnaire!R280</f>
        <v>Above 90-100%  compliance</v>
      </c>
      <c r="E87" s="286">
        <f>IF(D87="n/a","n/a",IF(D87=criteria!C82,criteria!$D$6,IF(D87=criteria!E82,criteria!$F$6,IF(D87=criteria!G82,criteria!$H$6,IF(D87=criteria!I82,criteria!$J$6,0)))))</f>
        <v>3</v>
      </c>
      <c r="F87" s="93"/>
      <c r="G87" s="91"/>
      <c r="H87" s="91" t="s">
        <v>246</v>
      </c>
    </row>
    <row r="88" spans="1:8" x14ac:dyDescent="0.25">
      <c r="B88" s="104"/>
      <c r="C88" s="105"/>
      <c r="D88" s="95"/>
      <c r="E88" s="287"/>
      <c r="F88" s="93"/>
      <c r="G88" s="91"/>
      <c r="H88" s="91"/>
    </row>
    <row r="89" spans="1:8" ht="12.75" customHeight="1" x14ac:dyDescent="0.25">
      <c r="B89" s="210" t="s">
        <v>160</v>
      </c>
      <c r="C89" s="89"/>
      <c r="D89" s="89"/>
      <c r="E89" s="89"/>
      <c r="F89" s="86"/>
      <c r="G89" s="89"/>
      <c r="H89" s="90"/>
    </row>
    <row r="90" spans="1:8" ht="65" x14ac:dyDescent="0.25">
      <c r="A90" s="67">
        <v>40</v>
      </c>
      <c r="B90" s="102" t="s">
        <v>440</v>
      </c>
      <c r="C90" s="103" t="s">
        <v>439</v>
      </c>
      <c r="D90" s="95" t="str">
        <f>Questionnaire!R288</f>
        <v>Substantially Compliant</v>
      </c>
      <c r="E90" s="289">
        <f>IF(D90="n/a","n/a",IF(D90=criteria!C85,criteria!$D$6,IF(D90=criteria!E85,criteria!$F$6,IF(D90=criteria!G85,criteria!$H$6,IF(D90=criteria!I85,criteria!$J$6,0)))))</f>
        <v>2</v>
      </c>
      <c r="F90" s="93"/>
      <c r="G90" s="91"/>
      <c r="H90" s="91" t="s">
        <v>247</v>
      </c>
    </row>
    <row r="91" spans="1:8" x14ac:dyDescent="0.25">
      <c r="B91" s="104"/>
      <c r="C91" s="221"/>
      <c r="D91" s="207"/>
      <c r="E91" s="290"/>
      <c r="F91" s="86"/>
      <c r="G91" s="101"/>
      <c r="H91" s="94"/>
    </row>
    <row r="92" spans="1:8" ht="12.75" customHeight="1" x14ac:dyDescent="0.25">
      <c r="B92" s="210" t="s">
        <v>161</v>
      </c>
      <c r="C92" s="89"/>
      <c r="D92" s="89"/>
      <c r="E92" s="89"/>
      <c r="F92" s="86"/>
      <c r="G92" s="89"/>
      <c r="H92" s="90"/>
    </row>
    <row r="93" spans="1:8" ht="26" x14ac:dyDescent="0.25">
      <c r="A93" s="67">
        <v>41</v>
      </c>
      <c r="B93" s="102" t="s">
        <v>442</v>
      </c>
      <c r="C93" s="103" t="s">
        <v>443</v>
      </c>
      <c r="D93" s="95" t="str">
        <f>Questionnaire!R298</f>
        <v xml:space="preserve">Fully Compliant </v>
      </c>
      <c r="E93" s="289">
        <f>IF(D93="n/a","n/a",IF(D93=criteria!C88,criteria!$D$6,IF(D93=criteria!E88,criteria!$F$6,IF(D93=criteria!G88,criteria!$H$6,IF(D93=criteria!I88,criteria!$J$6,0)))))</f>
        <v>3</v>
      </c>
      <c r="F93" s="93"/>
      <c r="G93" s="91"/>
      <c r="H93" s="91" t="s">
        <v>248</v>
      </c>
    </row>
    <row r="94" spans="1:8" ht="12.75" customHeight="1" x14ac:dyDescent="0.25">
      <c r="B94" s="210"/>
      <c r="C94" s="89"/>
      <c r="D94" s="88" t="s">
        <v>249</v>
      </c>
      <c r="E94" s="288">
        <f>IF(AND(E84="n/a",E88="n/a",E90="n/a",E93="n/a"),"n/a",AVERAGE(E82:E93))</f>
        <v>2.8</v>
      </c>
      <c r="F94" s="100"/>
      <c r="G94" s="101"/>
      <c r="H94" s="94"/>
    </row>
    <row r="95" spans="1:8" ht="23.25" customHeight="1" x14ac:dyDescent="0.25">
      <c r="B95" s="210" t="s">
        <v>250</v>
      </c>
      <c r="C95" s="89"/>
      <c r="D95" s="90"/>
      <c r="E95" s="291">
        <f>AVERAGE(E94,E79,E53,E33)</f>
        <v>2.4355769230769226</v>
      </c>
      <c r="F95" s="100"/>
      <c r="G95" s="101"/>
      <c r="H95" s="94"/>
    </row>
    <row r="96" spans="1:8" s="312" customFormat="1" x14ac:dyDescent="0.25">
      <c r="A96" s="67"/>
      <c r="B96" s="212"/>
      <c r="C96" s="292"/>
      <c r="D96" s="236"/>
      <c r="E96" s="237"/>
      <c r="F96" s="72"/>
      <c r="G96" s="72"/>
      <c r="H96" s="72"/>
    </row>
    <row r="97" spans="1:8" s="314" customFormat="1" ht="45" hidden="1" customHeight="1" x14ac:dyDescent="0.25">
      <c r="A97" s="313"/>
      <c r="B97" s="346" t="s">
        <v>251</v>
      </c>
      <c r="C97" s="346"/>
      <c r="D97" s="346"/>
      <c r="E97" s="346"/>
      <c r="F97" s="346"/>
      <c r="G97" s="346"/>
      <c r="H97" s="346"/>
    </row>
    <row r="98" spans="1:8" s="314" customFormat="1" ht="12.75" hidden="1" customHeight="1" x14ac:dyDescent="0.25">
      <c r="A98" s="313"/>
      <c r="B98" s="294"/>
      <c r="C98" s="293"/>
      <c r="D98" s="295"/>
      <c r="E98" s="296"/>
      <c r="F98" s="297"/>
      <c r="G98" s="293"/>
      <c r="H98" s="293"/>
    </row>
    <row r="99" spans="1:8" s="314" customFormat="1" ht="12.75" hidden="1" customHeight="1" x14ac:dyDescent="0.25">
      <c r="A99" s="313"/>
      <c r="B99" s="294" t="s">
        <v>252</v>
      </c>
      <c r="C99" s="298"/>
      <c r="D99" s="298"/>
      <c r="E99" s="298"/>
      <c r="F99" s="72"/>
      <c r="G99" s="298"/>
      <c r="H99" s="298"/>
    </row>
    <row r="100" spans="1:8" s="312" customFormat="1" x14ac:dyDescent="0.25">
      <c r="A100" s="67"/>
      <c r="B100" s="213"/>
      <c r="C100" s="297"/>
      <c r="D100" s="240"/>
      <c r="E100" s="299"/>
      <c r="F100" s="297"/>
      <c r="G100" s="297"/>
      <c r="H100" s="297"/>
    </row>
    <row r="101" spans="1:8" s="312" customFormat="1" x14ac:dyDescent="0.25">
      <c r="A101" s="67"/>
      <c r="B101" s="213"/>
      <c r="C101" s="297"/>
      <c r="D101" s="240"/>
      <c r="E101" s="299"/>
      <c r="F101" s="297"/>
      <c r="G101" s="297"/>
      <c r="H101" s="297"/>
    </row>
    <row r="102" spans="1:8" s="312" customFormat="1" x14ac:dyDescent="0.25">
      <c r="A102" s="67"/>
      <c r="B102" s="213"/>
      <c r="C102" s="71" t="s">
        <v>253</v>
      </c>
      <c r="D102" s="236"/>
      <c r="E102" s="241"/>
      <c r="F102" s="297"/>
      <c r="G102" s="297"/>
      <c r="H102" s="297"/>
    </row>
    <row r="103" spans="1:8" s="312" customFormat="1" x14ac:dyDescent="0.25">
      <c r="A103" s="67"/>
      <c r="B103" s="213"/>
      <c r="C103" s="71"/>
      <c r="D103" s="236"/>
      <c r="E103" s="241"/>
      <c r="F103" s="297"/>
      <c r="G103" s="297"/>
      <c r="H103" s="297"/>
    </row>
    <row r="104" spans="1:8" s="312" customFormat="1" x14ac:dyDescent="0.25">
      <c r="A104" s="67"/>
      <c r="B104" s="213"/>
      <c r="C104" s="300" t="s">
        <v>254</v>
      </c>
      <c r="D104" s="301" t="s">
        <v>255</v>
      </c>
      <c r="E104" s="302" t="s">
        <v>256</v>
      </c>
      <c r="F104" s="297"/>
      <c r="G104" s="297"/>
      <c r="H104" s="297"/>
    </row>
    <row r="105" spans="1:8" s="312" customFormat="1" x14ac:dyDescent="0.25">
      <c r="A105" s="73"/>
      <c r="B105" s="213"/>
      <c r="C105" s="303"/>
      <c r="D105" s="304"/>
      <c r="E105" s="305"/>
      <c r="F105" s="297"/>
      <c r="G105" s="297"/>
      <c r="H105" s="297"/>
    </row>
    <row r="106" spans="1:8" s="312" customFormat="1" x14ac:dyDescent="0.25">
      <c r="A106" s="311" t="s">
        <v>620</v>
      </c>
      <c r="B106" s="310" t="s">
        <v>621</v>
      </c>
      <c r="C106" s="91" t="s">
        <v>272</v>
      </c>
      <c r="D106" s="97">
        <v>3</v>
      </c>
      <c r="E106" s="306">
        <f>E33</f>
        <v>1.6923076923076923</v>
      </c>
      <c r="F106" s="297"/>
      <c r="G106" s="297"/>
      <c r="H106" s="297"/>
    </row>
    <row r="107" spans="1:8" s="312" customFormat="1" x14ac:dyDescent="0.25">
      <c r="A107" s="311" t="s">
        <v>620</v>
      </c>
      <c r="B107" s="310" t="s">
        <v>622</v>
      </c>
      <c r="C107" s="91" t="s">
        <v>273</v>
      </c>
      <c r="D107" s="97">
        <v>3</v>
      </c>
      <c r="E107" s="306">
        <f>E53</f>
        <v>2.6666666666666665</v>
      </c>
      <c r="F107" s="297"/>
      <c r="G107" s="297"/>
      <c r="H107" s="297"/>
    </row>
    <row r="108" spans="1:8" s="312" customFormat="1" x14ac:dyDescent="0.25">
      <c r="A108" s="311" t="s">
        <v>620</v>
      </c>
      <c r="B108" s="310" t="s">
        <v>623</v>
      </c>
      <c r="C108" s="91" t="s">
        <v>274</v>
      </c>
      <c r="D108" s="97">
        <v>3</v>
      </c>
      <c r="E108" s="306">
        <f>E79</f>
        <v>2.5833333333333335</v>
      </c>
      <c r="F108" s="297"/>
      <c r="G108" s="297"/>
      <c r="H108" s="297"/>
    </row>
    <row r="109" spans="1:8" s="312" customFormat="1" ht="26" x14ac:dyDescent="0.25">
      <c r="A109" s="311" t="s">
        <v>620</v>
      </c>
      <c r="B109" s="310" t="s">
        <v>624</v>
      </c>
      <c r="C109" s="91" t="s">
        <v>275</v>
      </c>
      <c r="D109" s="97">
        <v>3</v>
      </c>
      <c r="E109" s="306">
        <f>E94</f>
        <v>2.8</v>
      </c>
      <c r="F109" s="297"/>
      <c r="G109" s="297"/>
      <c r="H109" s="297"/>
    </row>
    <row r="110" spans="1:8" s="312" customFormat="1" x14ac:dyDescent="0.25">
      <c r="A110" s="73"/>
      <c r="B110" s="213"/>
      <c r="C110" s="307" t="s">
        <v>257</v>
      </c>
      <c r="D110" s="308">
        <v>3</v>
      </c>
      <c r="E110" s="309">
        <f>E95</f>
        <v>2.4355769230769226</v>
      </c>
      <c r="F110" s="297"/>
      <c r="G110" s="297"/>
      <c r="H110" s="297"/>
    </row>
    <row r="111" spans="1:8" s="312" customFormat="1" x14ac:dyDescent="0.25">
      <c r="A111" s="67"/>
      <c r="B111" s="213"/>
      <c r="C111" s="72"/>
      <c r="D111" s="240"/>
      <c r="E111" s="241"/>
      <c r="F111" s="72"/>
      <c r="G111" s="72"/>
      <c r="H111" s="72"/>
    </row>
    <row r="112" spans="1:8" x14ac:dyDescent="0.25">
      <c r="B112" s="213"/>
      <c r="C112" s="72"/>
      <c r="D112" s="240"/>
      <c r="E112" s="241"/>
      <c r="F112" s="72"/>
      <c r="G112" s="72"/>
      <c r="H112" s="72"/>
    </row>
    <row r="113" spans="2:8" x14ac:dyDescent="0.25">
      <c r="B113" s="213"/>
      <c r="C113" s="72"/>
      <c r="D113" s="240"/>
      <c r="E113" s="241"/>
      <c r="F113" s="72"/>
      <c r="G113" s="72"/>
      <c r="H113" s="72"/>
    </row>
    <row r="114" spans="2:8" x14ac:dyDescent="0.25">
      <c r="B114" s="213"/>
      <c r="C114" s="72"/>
      <c r="D114" s="240"/>
      <c r="E114" s="241"/>
      <c r="F114" s="72"/>
      <c r="G114" s="72"/>
      <c r="H114" s="72"/>
    </row>
    <row r="115" spans="2:8" x14ac:dyDescent="0.25">
      <c r="B115" s="213"/>
      <c r="C115" s="72"/>
      <c r="D115" s="240"/>
      <c r="E115" s="241"/>
      <c r="F115" s="72"/>
      <c r="G115" s="72"/>
      <c r="H115" s="72"/>
    </row>
    <row r="116" spans="2:8" x14ac:dyDescent="0.25">
      <c r="B116" s="213"/>
      <c r="C116" s="72"/>
      <c r="D116" s="240"/>
      <c r="E116" s="241"/>
      <c r="F116" s="72"/>
      <c r="G116" s="72"/>
      <c r="H116" s="72"/>
    </row>
    <row r="117" spans="2:8" x14ac:dyDescent="0.25">
      <c r="B117" s="213"/>
      <c r="C117" s="72"/>
      <c r="D117" s="240"/>
      <c r="E117" s="241"/>
      <c r="F117" s="72"/>
      <c r="G117" s="72"/>
      <c r="H117" s="72"/>
    </row>
    <row r="118" spans="2:8" ht="15.5" x14ac:dyDescent="0.35">
      <c r="C118" s="365" t="s">
        <v>677</v>
      </c>
    </row>
    <row r="119" spans="2:8" ht="15.5" x14ac:dyDescent="0.25">
      <c r="C119" s="366" t="s">
        <v>638</v>
      </c>
    </row>
    <row r="120" spans="2:8" ht="15.5" x14ac:dyDescent="0.25">
      <c r="C120" s="366"/>
    </row>
    <row r="121" spans="2:8" ht="15.5" x14ac:dyDescent="0.25">
      <c r="C121" s="366"/>
    </row>
    <row r="122" spans="2:8" ht="15.5" x14ac:dyDescent="0.25">
      <c r="C122" s="366"/>
    </row>
    <row r="123" spans="2:8" ht="15.5" x14ac:dyDescent="0.25">
      <c r="C123" s="367" t="s">
        <v>671</v>
      </c>
    </row>
    <row r="124" spans="2:8" ht="15.5" x14ac:dyDescent="0.25">
      <c r="C124" s="366" t="s">
        <v>672</v>
      </c>
    </row>
  </sheetData>
  <sheetProtection password="D52D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14" scale="77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opLeftCell="A44" zoomScale="63" zoomScaleNormal="63" workbookViewId="0">
      <selection activeCell="E69" sqref="E69"/>
    </sheetView>
  </sheetViews>
  <sheetFormatPr defaultColWidth="9.1796875" defaultRowHeight="12.5" x14ac:dyDescent="0.25"/>
  <cols>
    <col min="1" max="1" width="17.1796875" style="111" customWidth="1"/>
    <col min="2" max="2" width="48.453125" style="111" customWidth="1"/>
    <col min="3" max="3" width="14.81640625" style="111" hidden="1" customWidth="1"/>
    <col min="4" max="4" width="56.54296875" style="111" customWidth="1"/>
    <col min="5" max="5" width="27.1796875" style="111" customWidth="1"/>
    <col min="6" max="6" width="24.1796875" style="111" customWidth="1"/>
    <col min="7" max="7" width="27.81640625" style="111" customWidth="1"/>
    <col min="8" max="16384" width="9.1796875" style="111"/>
  </cols>
  <sheetData>
    <row r="1" spans="1:7" ht="12.75" customHeight="1" x14ac:dyDescent="0.35">
      <c r="A1" s="350" t="s">
        <v>258</v>
      </c>
      <c r="B1" s="350"/>
      <c r="C1" s="350"/>
      <c r="D1" s="350"/>
      <c r="E1" s="350"/>
      <c r="F1" s="350"/>
      <c r="G1" s="350"/>
    </row>
    <row r="2" spans="1:7" ht="12.75" customHeight="1" x14ac:dyDescent="0.35">
      <c r="A2" s="274"/>
      <c r="B2" s="274"/>
      <c r="C2" s="274"/>
      <c r="D2" s="274"/>
      <c r="E2" s="274"/>
      <c r="F2" s="274"/>
      <c r="G2" s="274"/>
    </row>
    <row r="3" spans="1:7" ht="15.5" x14ac:dyDescent="0.35">
      <c r="A3" s="350" t="s">
        <v>259</v>
      </c>
      <c r="B3" s="350"/>
      <c r="C3" s="350"/>
      <c r="D3" s="350"/>
      <c r="E3" s="350"/>
      <c r="F3" s="350"/>
      <c r="G3" s="350"/>
    </row>
    <row r="5" spans="1:7" ht="13" x14ac:dyDescent="0.3">
      <c r="A5" s="279" t="s">
        <v>654</v>
      </c>
      <c r="F5" s="279" t="s">
        <v>655</v>
      </c>
    </row>
    <row r="6" spans="1:7" ht="13" thickBot="1" x14ac:dyDescent="0.3"/>
    <row r="7" spans="1:7" ht="35" customHeight="1" x14ac:dyDescent="0.35">
      <c r="A7" s="382" t="s">
        <v>516</v>
      </c>
      <c r="B7" s="407" t="s">
        <v>260</v>
      </c>
      <c r="C7" s="383"/>
      <c r="D7" s="383" t="s">
        <v>261</v>
      </c>
      <c r="E7" s="384" t="s">
        <v>262</v>
      </c>
      <c r="F7" s="385" t="s">
        <v>263</v>
      </c>
      <c r="G7" s="386" t="s">
        <v>264</v>
      </c>
    </row>
    <row r="8" spans="1:7" ht="40" customHeight="1" x14ac:dyDescent="0.3">
      <c r="A8" s="392" t="s">
        <v>271</v>
      </c>
      <c r="B8" s="408" t="s">
        <v>292</v>
      </c>
      <c r="C8" s="393">
        <f>VLOOKUP(A8,APCPI!B15:E93,4,FALSE)</f>
        <v>0</v>
      </c>
      <c r="D8" s="413" t="s">
        <v>656</v>
      </c>
      <c r="E8" s="394" t="s">
        <v>657</v>
      </c>
      <c r="F8" s="395" t="s">
        <v>661</v>
      </c>
      <c r="G8" s="396"/>
    </row>
    <row r="9" spans="1:7" ht="40" customHeight="1" x14ac:dyDescent="0.3">
      <c r="A9" s="387" t="s">
        <v>276</v>
      </c>
      <c r="B9" s="409" t="s">
        <v>293</v>
      </c>
      <c r="C9" s="388">
        <f>VLOOKUP(A9,APCPI!B16:E94,4,FALSE)</f>
        <v>0</v>
      </c>
      <c r="D9" s="414" t="s">
        <v>658</v>
      </c>
      <c r="E9" s="389" t="s">
        <v>657</v>
      </c>
      <c r="F9" s="390" t="s">
        <v>661</v>
      </c>
      <c r="G9" s="391"/>
    </row>
    <row r="10" spans="1:7" ht="40" customHeight="1" x14ac:dyDescent="0.3">
      <c r="A10" s="275" t="s">
        <v>277</v>
      </c>
      <c r="B10" s="410" t="s">
        <v>294</v>
      </c>
      <c r="C10" s="276">
        <f>VLOOKUP(A10,APCPI!B19:E97,4,FALSE)</f>
        <v>0</v>
      </c>
      <c r="D10" s="415" t="s">
        <v>659</v>
      </c>
      <c r="E10" s="364" t="s">
        <v>657</v>
      </c>
      <c r="F10" s="280" t="s">
        <v>661</v>
      </c>
      <c r="G10" s="282"/>
    </row>
    <row r="11" spans="1:7" ht="40" customHeight="1" x14ac:dyDescent="0.3">
      <c r="A11" s="397" t="s">
        <v>278</v>
      </c>
      <c r="B11" s="411" t="s">
        <v>295</v>
      </c>
      <c r="C11" s="398">
        <f>VLOOKUP(A11,APCPI!B20:E98,4,FALSE)</f>
        <v>0</v>
      </c>
      <c r="D11" s="416" t="s">
        <v>660</v>
      </c>
      <c r="E11" s="399" t="s">
        <v>657</v>
      </c>
      <c r="F11" s="400" t="s">
        <v>661</v>
      </c>
      <c r="G11" s="401"/>
    </row>
    <row r="12" spans="1:7" ht="40" customHeight="1" x14ac:dyDescent="0.25">
      <c r="A12" s="392" t="s">
        <v>279</v>
      </c>
      <c r="B12" s="408" t="s">
        <v>291</v>
      </c>
      <c r="C12" s="393">
        <f>VLOOKUP(A12,APCPI!B21:E99,4,FALSE)</f>
        <v>2</v>
      </c>
      <c r="D12" s="417" t="s">
        <v>690</v>
      </c>
      <c r="E12" s="394" t="s">
        <v>657</v>
      </c>
      <c r="F12" s="395" t="s">
        <v>661</v>
      </c>
      <c r="G12" s="396"/>
    </row>
    <row r="13" spans="1:7" ht="40" customHeight="1" x14ac:dyDescent="0.25">
      <c r="A13" s="387" t="s">
        <v>280</v>
      </c>
      <c r="B13" s="409" t="s">
        <v>296</v>
      </c>
      <c r="C13" s="388">
        <f>VLOOKUP(A13,APCPI!B22:E100,4,FALSE)</f>
        <v>3</v>
      </c>
      <c r="D13" s="418"/>
      <c r="E13" s="402"/>
      <c r="F13" s="390"/>
      <c r="G13" s="391"/>
    </row>
    <row r="14" spans="1:7" ht="40" customHeight="1" x14ac:dyDescent="0.25">
      <c r="A14" s="275" t="s">
        <v>281</v>
      </c>
      <c r="B14" s="410" t="s">
        <v>305</v>
      </c>
      <c r="C14" s="276">
        <f>VLOOKUP(A14,APCPI!B23:E101,4,FALSE)</f>
        <v>3</v>
      </c>
      <c r="D14" s="419"/>
      <c r="E14" s="281"/>
      <c r="F14" s="280"/>
      <c r="G14" s="282"/>
    </row>
    <row r="15" spans="1:7" ht="40" customHeight="1" thickBot="1" x14ac:dyDescent="0.3">
      <c r="A15" s="275" t="s">
        <v>282</v>
      </c>
      <c r="B15" s="410" t="s">
        <v>297</v>
      </c>
      <c r="C15" s="276">
        <f>VLOOKUP(A15,APCPI!B24:E102,4,FALSE)</f>
        <v>3</v>
      </c>
      <c r="D15" s="424"/>
      <c r="E15" s="281"/>
      <c r="F15" s="280"/>
      <c r="G15" s="282"/>
    </row>
    <row r="16" spans="1:7" ht="40" customHeight="1" x14ac:dyDescent="0.3">
      <c r="A16" s="397" t="s">
        <v>315</v>
      </c>
      <c r="B16" s="411" t="s">
        <v>320</v>
      </c>
      <c r="C16" s="398">
        <f>VLOOKUP(A16,APCPI!B27:E105,4,FALSE)</f>
        <v>1</v>
      </c>
      <c r="D16" s="416" t="s">
        <v>678</v>
      </c>
      <c r="E16" s="399" t="s">
        <v>657</v>
      </c>
      <c r="F16" s="403" t="s">
        <v>689</v>
      </c>
      <c r="G16" s="401"/>
    </row>
    <row r="17" spans="1:7" ht="57.5" customHeight="1" x14ac:dyDescent="0.3">
      <c r="A17" s="392" t="s">
        <v>316</v>
      </c>
      <c r="B17" s="408" t="s">
        <v>321</v>
      </c>
      <c r="C17" s="393">
        <f>VLOOKUP(A17,APCPI!B28:E106,4,FALSE)</f>
        <v>2</v>
      </c>
      <c r="D17" s="420" t="s">
        <v>679</v>
      </c>
      <c r="E17" s="404" t="s">
        <v>681</v>
      </c>
      <c r="F17" s="405" t="s">
        <v>689</v>
      </c>
      <c r="G17" s="406" t="s">
        <v>682</v>
      </c>
    </row>
    <row r="18" spans="1:7" ht="40" customHeight="1" x14ac:dyDescent="0.3">
      <c r="A18" s="392" t="s">
        <v>317</v>
      </c>
      <c r="B18" s="408" t="s">
        <v>322</v>
      </c>
      <c r="C18" s="393">
        <f>VLOOKUP(A18,APCPI!B29:E107,4,FALSE)</f>
        <v>2</v>
      </c>
      <c r="D18" s="413" t="s">
        <v>680</v>
      </c>
      <c r="E18" s="394" t="s">
        <v>681</v>
      </c>
      <c r="F18" s="405" t="s">
        <v>689</v>
      </c>
      <c r="G18" s="396"/>
    </row>
    <row r="19" spans="1:7" ht="40" customHeight="1" x14ac:dyDescent="0.25">
      <c r="A19" s="387" t="s">
        <v>318</v>
      </c>
      <c r="B19" s="409" t="s">
        <v>323</v>
      </c>
      <c r="C19" s="388">
        <f>VLOOKUP(A19,APCPI!B30:E108,4,FALSE)</f>
        <v>3</v>
      </c>
      <c r="D19" s="418"/>
      <c r="E19" s="402"/>
      <c r="F19" s="390"/>
      <c r="G19" s="391"/>
    </row>
    <row r="20" spans="1:7" ht="40" customHeight="1" x14ac:dyDescent="0.25">
      <c r="A20" s="275" t="s">
        <v>319</v>
      </c>
      <c r="B20" s="410" t="s">
        <v>324</v>
      </c>
      <c r="C20" s="276">
        <f>VLOOKUP(A20,APCPI!B31:E109,4,FALSE)</f>
        <v>3</v>
      </c>
      <c r="D20" s="419"/>
      <c r="E20" s="281"/>
      <c r="F20" s="280"/>
      <c r="G20" s="282"/>
    </row>
    <row r="21" spans="1:7" ht="40" customHeight="1" x14ac:dyDescent="0.25">
      <c r="A21" s="275" t="s">
        <v>331</v>
      </c>
      <c r="B21" s="410" t="s">
        <v>333</v>
      </c>
      <c r="C21" s="276">
        <f>VLOOKUP(A21,APCPI!B36:E114,4,FALSE)</f>
        <v>3</v>
      </c>
      <c r="D21" s="419"/>
      <c r="E21" s="281"/>
      <c r="F21" s="280"/>
      <c r="G21" s="282"/>
    </row>
    <row r="22" spans="1:7" ht="51" customHeight="1" x14ac:dyDescent="0.25">
      <c r="A22" s="275" t="s">
        <v>332</v>
      </c>
      <c r="B22" s="410" t="s">
        <v>334</v>
      </c>
      <c r="C22" s="276">
        <f>VLOOKUP(A22,APCPI!B37:E115,4,FALSE)</f>
        <v>3</v>
      </c>
      <c r="D22" s="419"/>
      <c r="E22" s="281"/>
      <c r="F22" s="280"/>
      <c r="G22" s="282"/>
    </row>
    <row r="23" spans="1:7" ht="40" customHeight="1" x14ac:dyDescent="0.25">
      <c r="A23" s="275" t="s">
        <v>335</v>
      </c>
      <c r="B23" s="410" t="s">
        <v>336</v>
      </c>
      <c r="C23" s="276">
        <f>VLOOKUP(A23,APCPI!B40:E118,4,FALSE)</f>
        <v>3</v>
      </c>
      <c r="D23" s="419"/>
      <c r="E23" s="281"/>
      <c r="F23" s="280"/>
      <c r="G23" s="282"/>
    </row>
    <row r="24" spans="1:7" ht="53.25" customHeight="1" x14ac:dyDescent="0.25">
      <c r="A24" s="275" t="s">
        <v>341</v>
      </c>
      <c r="B24" s="410" t="s">
        <v>340</v>
      </c>
      <c r="C24" s="276">
        <f>VLOOKUP(A24,APCPI!B41:E119,4,FALSE)</f>
        <v>3</v>
      </c>
      <c r="D24" s="419"/>
      <c r="E24" s="281"/>
      <c r="F24" s="280"/>
      <c r="G24" s="282"/>
    </row>
    <row r="25" spans="1:7" ht="40" customHeight="1" x14ac:dyDescent="0.25">
      <c r="A25" s="275" t="s">
        <v>342</v>
      </c>
      <c r="B25" s="410" t="s">
        <v>350</v>
      </c>
      <c r="C25" s="276">
        <f>VLOOKUP(A25,APCPI!B42:E120,4,FALSE)</f>
        <v>0</v>
      </c>
      <c r="D25" s="419" t="s">
        <v>692</v>
      </c>
      <c r="E25" s="281" t="s">
        <v>691</v>
      </c>
      <c r="F25" s="405" t="s">
        <v>689</v>
      </c>
      <c r="G25" s="282"/>
    </row>
    <row r="26" spans="1:7" ht="40" customHeight="1" x14ac:dyDescent="0.25">
      <c r="A26" s="275" t="s">
        <v>357</v>
      </c>
      <c r="B26" s="410" t="s">
        <v>358</v>
      </c>
      <c r="C26" s="276">
        <f>VLOOKUP(A26,APCPI!B45:E123,4,FALSE)</f>
        <v>3</v>
      </c>
      <c r="D26" s="419"/>
      <c r="E26" s="281"/>
      <c r="F26" s="280"/>
      <c r="G26" s="282"/>
    </row>
    <row r="27" spans="1:7" ht="40" customHeight="1" x14ac:dyDescent="0.25">
      <c r="A27" s="275" t="s">
        <v>360</v>
      </c>
      <c r="B27" s="410" t="s">
        <v>359</v>
      </c>
      <c r="C27" s="276">
        <f>VLOOKUP(A27,APCPI!B46:E124,4,FALSE)</f>
        <v>3</v>
      </c>
      <c r="D27" s="419"/>
      <c r="E27" s="281"/>
      <c r="F27" s="280"/>
      <c r="G27" s="282"/>
    </row>
    <row r="28" spans="1:7" ht="40" customHeight="1" x14ac:dyDescent="0.25">
      <c r="A28" s="275" t="s">
        <v>361</v>
      </c>
      <c r="B28" s="410" t="s">
        <v>362</v>
      </c>
      <c r="C28" s="276" t="str">
        <f>VLOOKUP(A28,APCPI!B47:E125,4,FALSE)</f>
        <v>n/a</v>
      </c>
      <c r="D28" s="419"/>
      <c r="E28" s="281"/>
      <c r="F28" s="280"/>
      <c r="G28" s="282"/>
    </row>
    <row r="29" spans="1:7" ht="40" customHeight="1" x14ac:dyDescent="0.25">
      <c r="A29" s="275" t="s">
        <v>363</v>
      </c>
      <c r="B29" s="410" t="s">
        <v>364</v>
      </c>
      <c r="C29" s="276">
        <f>VLOOKUP(A29,APCPI!B50:E128,4,FALSE)</f>
        <v>3</v>
      </c>
      <c r="D29" s="419"/>
      <c r="E29" s="281"/>
      <c r="F29" s="280"/>
      <c r="G29" s="282"/>
    </row>
    <row r="30" spans="1:7" ht="40" customHeight="1" thickBot="1" x14ac:dyDescent="0.3">
      <c r="A30" s="275" t="s">
        <v>365</v>
      </c>
      <c r="B30" s="410" t="s">
        <v>366</v>
      </c>
      <c r="C30" s="276">
        <f>VLOOKUP(A30,APCPI!B51:E129,4,FALSE)</f>
        <v>3</v>
      </c>
      <c r="D30" s="419"/>
      <c r="E30" s="281"/>
      <c r="F30" s="280"/>
      <c r="G30" s="282"/>
    </row>
    <row r="31" spans="1:7" ht="40" hidden="1" customHeight="1" x14ac:dyDescent="0.25">
      <c r="A31" s="275" t="s">
        <v>367</v>
      </c>
      <c r="B31" s="410" t="s">
        <v>368</v>
      </c>
      <c r="C31" s="276">
        <f>VLOOKUP(A31,APCPI!B56:E134,4,FALSE)</f>
        <v>3</v>
      </c>
      <c r="D31" s="419"/>
      <c r="E31" s="281"/>
      <c r="F31" s="280"/>
      <c r="G31" s="282"/>
    </row>
    <row r="32" spans="1:7" ht="40" customHeight="1" thickBot="1" x14ac:dyDescent="0.3">
      <c r="A32" s="275" t="s">
        <v>370</v>
      </c>
      <c r="B32" s="410" t="s">
        <v>369</v>
      </c>
      <c r="C32" s="276">
        <f>VLOOKUP(A32,APCPI!B57:E135,4,FALSE)</f>
        <v>1</v>
      </c>
      <c r="D32" s="421" t="s">
        <v>683</v>
      </c>
      <c r="E32" s="376" t="s">
        <v>684</v>
      </c>
      <c r="F32" s="376" t="s">
        <v>689</v>
      </c>
      <c r="G32" s="282"/>
    </row>
    <row r="33" spans="1:7" ht="40" customHeight="1" thickBot="1" x14ac:dyDescent="0.3">
      <c r="A33" s="275" t="s">
        <v>371</v>
      </c>
      <c r="B33" s="410" t="s">
        <v>372</v>
      </c>
      <c r="C33" s="276">
        <f>VLOOKUP(A33,APCPI!B58:E136,4,FALSE)</f>
        <v>3</v>
      </c>
      <c r="D33" s="422"/>
      <c r="E33" s="377"/>
      <c r="F33" s="376"/>
      <c r="G33" s="282"/>
    </row>
    <row r="34" spans="1:7" ht="40" hidden="1" customHeight="1" x14ac:dyDescent="0.25">
      <c r="A34" s="275"/>
      <c r="B34" s="410"/>
      <c r="C34" s="276" t="e">
        <f>VLOOKUP(A34,APCPI!B59:E137,4,FALSE)</f>
        <v>#N/A</v>
      </c>
      <c r="D34" s="419"/>
      <c r="E34" s="281"/>
      <c r="F34" s="280"/>
      <c r="G34" s="282"/>
    </row>
    <row r="35" spans="1:7" ht="40" customHeight="1" x14ac:dyDescent="0.25">
      <c r="A35" s="275" t="s">
        <v>378</v>
      </c>
      <c r="B35" s="410" t="s">
        <v>381</v>
      </c>
      <c r="C35" s="276">
        <f>VLOOKUP(A35,APCPI!B61:E139,4,FALSE)</f>
        <v>3</v>
      </c>
      <c r="D35" s="419"/>
      <c r="E35" s="281"/>
      <c r="F35" s="280"/>
      <c r="G35" s="282"/>
    </row>
    <row r="36" spans="1:7" ht="40" customHeight="1" x14ac:dyDescent="0.25">
      <c r="A36" s="275" t="s">
        <v>379</v>
      </c>
      <c r="B36" s="410" t="s">
        <v>382</v>
      </c>
      <c r="C36" s="276">
        <f>VLOOKUP(A36,APCPI!B62:E140,4,FALSE)</f>
        <v>3</v>
      </c>
      <c r="D36" s="419"/>
      <c r="E36" s="281"/>
      <c r="F36" s="280"/>
      <c r="G36" s="282"/>
    </row>
    <row r="37" spans="1:7" ht="40" customHeight="1" x14ac:dyDescent="0.25">
      <c r="A37" s="275" t="s">
        <v>380</v>
      </c>
      <c r="B37" s="410" t="s">
        <v>383</v>
      </c>
      <c r="C37" s="276" t="str">
        <f>VLOOKUP(A37,APCPI!B63:E141,4,FALSE)</f>
        <v>n/a</v>
      </c>
      <c r="D37" s="419"/>
      <c r="E37" s="281"/>
      <c r="F37" s="280"/>
      <c r="G37" s="282"/>
    </row>
    <row r="38" spans="1:7" ht="40" customHeight="1" x14ac:dyDescent="0.25">
      <c r="A38" s="275" t="s">
        <v>395</v>
      </c>
      <c r="B38" s="410" t="s">
        <v>394</v>
      </c>
      <c r="C38" s="276">
        <f>VLOOKUP(A38,APCPI!B66:E144,4,FALSE)</f>
        <v>3</v>
      </c>
      <c r="D38" s="419"/>
      <c r="E38" s="281"/>
      <c r="F38" s="280"/>
      <c r="G38" s="282"/>
    </row>
    <row r="39" spans="1:7" ht="52.5" customHeight="1" x14ac:dyDescent="0.25">
      <c r="A39" s="275" t="s">
        <v>396</v>
      </c>
      <c r="B39" s="410" t="s">
        <v>401</v>
      </c>
      <c r="C39" s="276">
        <f>VLOOKUP(A39,APCPI!B67:E145,4,FALSE)</f>
        <v>0</v>
      </c>
      <c r="D39" s="419" t="s">
        <v>685</v>
      </c>
      <c r="E39" s="281" t="s">
        <v>657</v>
      </c>
      <c r="F39" s="378" t="s">
        <v>686</v>
      </c>
      <c r="G39" s="282" t="s">
        <v>687</v>
      </c>
    </row>
    <row r="40" spans="1:7" ht="40" customHeight="1" x14ac:dyDescent="0.25">
      <c r="A40" s="275" t="s">
        <v>397</v>
      </c>
      <c r="B40" s="410" t="s">
        <v>409</v>
      </c>
      <c r="C40" s="276">
        <f>VLOOKUP(A40,APCPI!B68:E146,4,FALSE)</f>
        <v>3</v>
      </c>
      <c r="D40" s="419"/>
      <c r="E40" s="281"/>
      <c r="F40" s="280"/>
      <c r="G40" s="282"/>
    </row>
    <row r="41" spans="1:7" ht="40" customHeight="1" x14ac:dyDescent="0.25">
      <c r="A41" s="275" t="s">
        <v>415</v>
      </c>
      <c r="B41" s="410" t="s">
        <v>414</v>
      </c>
      <c r="C41" s="276">
        <f>VLOOKUP(A41,APCPI!B71:E149,4,FALSE)</f>
        <v>3</v>
      </c>
      <c r="D41" s="419"/>
      <c r="E41" s="281"/>
      <c r="F41" s="280"/>
      <c r="G41" s="282"/>
    </row>
    <row r="42" spans="1:7" ht="40" customHeight="1" x14ac:dyDescent="0.25">
      <c r="A42" s="275" t="s">
        <v>416</v>
      </c>
      <c r="B42" s="410" t="s">
        <v>418</v>
      </c>
      <c r="C42" s="276">
        <f>VLOOKUP(A42,APCPI!B72:E150,4,FALSE)</f>
        <v>3</v>
      </c>
      <c r="D42" s="419"/>
      <c r="E42" s="281"/>
      <c r="F42" s="280"/>
      <c r="G42" s="282"/>
    </row>
    <row r="43" spans="1:7" ht="54" customHeight="1" x14ac:dyDescent="0.25">
      <c r="A43" s="275" t="s">
        <v>420</v>
      </c>
      <c r="B43" s="410" t="s">
        <v>419</v>
      </c>
      <c r="C43" s="276">
        <f>VLOOKUP(A43,APCPI!B75:E153,4,FALSE)</f>
        <v>3</v>
      </c>
      <c r="D43" s="419"/>
      <c r="E43" s="281"/>
      <c r="F43" s="280"/>
      <c r="G43" s="282"/>
    </row>
    <row r="44" spans="1:7" ht="40" customHeight="1" x14ac:dyDescent="0.25">
      <c r="A44" s="275" t="s">
        <v>421</v>
      </c>
      <c r="B44" s="410" t="s">
        <v>422</v>
      </c>
      <c r="C44" s="276">
        <f>VLOOKUP(A44,APCPI!B77:E155,4,FALSE)</f>
        <v>3</v>
      </c>
      <c r="D44" s="419"/>
      <c r="E44" s="281"/>
      <c r="F44" s="280"/>
      <c r="G44" s="282"/>
    </row>
    <row r="45" spans="1:7" ht="40" customHeight="1" x14ac:dyDescent="0.25">
      <c r="A45" s="275" t="s">
        <v>424</v>
      </c>
      <c r="B45" s="410" t="s">
        <v>423</v>
      </c>
      <c r="C45" s="276">
        <f>VLOOKUP(A45,APCPI!B82:E160,4,FALSE)</f>
        <v>3</v>
      </c>
      <c r="D45" s="419"/>
      <c r="E45" s="281"/>
      <c r="F45" s="280"/>
      <c r="G45" s="282"/>
    </row>
    <row r="46" spans="1:7" ht="40" customHeight="1" x14ac:dyDescent="0.25">
      <c r="A46" s="275" t="s">
        <v>430</v>
      </c>
      <c r="B46" s="410" t="s">
        <v>432</v>
      </c>
      <c r="C46" s="276">
        <f>VLOOKUP(A46,APCPI!B86:E164,4,FALSE)</f>
        <v>3</v>
      </c>
      <c r="D46" s="419"/>
      <c r="E46" s="281"/>
      <c r="F46" s="280"/>
      <c r="G46" s="282"/>
    </row>
    <row r="47" spans="1:7" ht="40" customHeight="1" x14ac:dyDescent="0.25">
      <c r="A47" s="275" t="s">
        <v>431</v>
      </c>
      <c r="B47" s="410" t="s">
        <v>438</v>
      </c>
      <c r="C47" s="276">
        <f>VLOOKUP(A47,APCPI!B87:E165,4,FALSE)</f>
        <v>3</v>
      </c>
      <c r="D47" s="419"/>
      <c r="E47" s="281"/>
      <c r="F47" s="280"/>
      <c r="G47" s="282"/>
    </row>
    <row r="48" spans="1:7" ht="40" customHeight="1" x14ac:dyDescent="0.25">
      <c r="A48" s="275" t="s">
        <v>440</v>
      </c>
      <c r="B48" s="410" t="s">
        <v>439</v>
      </c>
      <c r="C48" s="276">
        <f>VLOOKUP(A48,APCPI!B90:E168,4,FALSE)</f>
        <v>2</v>
      </c>
      <c r="D48" s="419"/>
      <c r="E48" s="281"/>
      <c r="F48" s="280"/>
      <c r="G48" s="282"/>
    </row>
    <row r="49" spans="1:7" ht="40" customHeight="1" thickBot="1" x14ac:dyDescent="0.3">
      <c r="A49" s="277" t="s">
        <v>442</v>
      </c>
      <c r="B49" s="412" t="s">
        <v>443</v>
      </c>
      <c r="C49" s="278">
        <f>VLOOKUP(A49,APCPI!B93:E171,4,FALSE)</f>
        <v>3</v>
      </c>
      <c r="D49" s="423"/>
      <c r="E49" s="284"/>
      <c r="F49" s="283"/>
      <c r="G49" s="285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96" footer="0.51180555555555596"/>
  <pageSetup paperSize="14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Naida H. Karim</cp:lastModifiedBy>
  <cp:lastPrinted>2024-03-21T07:41:59Z</cp:lastPrinted>
  <dcterms:created xsi:type="dcterms:W3CDTF">2016-09-30T12:48:39Z</dcterms:created>
  <dcterms:modified xsi:type="dcterms:W3CDTF">2024-03-22T05:33:38Z</dcterms:modified>
</cp:coreProperties>
</file>